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130" yWindow="3000" windowWidth="14805" windowHeight="7650" firstSheet="7" activeTab="12"/>
  </bookViews>
  <sheets>
    <sheet name="Профилактика (1)" sheetId="39" r:id="rId1"/>
    <sheet name="Диспансерное наблюд (2) " sheetId="38" r:id="rId2"/>
    <sheet name="Проф осмотры (3)" sheetId="43" r:id="rId3"/>
    <sheet name="Диспансеризация (4)" sheetId="20" r:id="rId4"/>
    <sheet name="Диспансеризация 2 этап (5)" sheetId="40" r:id="rId5"/>
    <sheet name="Углублен.диспансеризация (6) " sheetId="21" r:id="rId6"/>
    <sheet name="Неотложная помощь(7)" sheetId="17" r:id="rId7"/>
    <sheet name="Обращения по заболеванию (8)" sheetId="14" r:id="rId8"/>
    <sheet name="Мед реабил(КС) (9)" sheetId="41" r:id="rId9"/>
    <sheet name="Круглосуточный стац (10)" sheetId="6" r:id="rId10"/>
    <sheet name="ВМП (11)" sheetId="5" r:id="rId11"/>
    <sheet name="Мед реабил(ДС) (12)" sheetId="42" r:id="rId12"/>
    <sheet name="Дневной стационар (13) " sheetId="4" r:id="rId13"/>
    <sheet name="Диагностические услуги (14)" sheetId="26" r:id="rId14"/>
    <sheet name="Прочие услуги (15)" sheetId="44" r:id="rId15"/>
    <sheet name="Сах диабет (№ 16)" sheetId="45" r:id="rId16"/>
  </sheets>
  <definedNames>
    <definedName name="_xlnm._FilterDatabase" localSheetId="10" hidden="1">'ВМП (11)'!$A$11:$F$40</definedName>
    <definedName name="_xlnm._FilterDatabase" localSheetId="13" hidden="1">'Диагностические услуги (14)'!$A$9:$F$9</definedName>
    <definedName name="_xlnm._FilterDatabase" localSheetId="1" hidden="1">'Диспансерное наблюд (2) '!$A$11:$S$166</definedName>
    <definedName name="_xlnm._FilterDatabase" localSheetId="12" hidden="1">'Дневной стационар (13) '!$A$9:$F$9</definedName>
    <definedName name="_xlnm._FilterDatabase" localSheetId="9" hidden="1">'Круглосуточный стац (10)'!$A$11:$F$11</definedName>
    <definedName name="_xlnm._FilterDatabase" localSheetId="11" hidden="1">'Мед реабил(ДС) (12)'!$A$11:$F$11</definedName>
    <definedName name="_xlnm._FilterDatabase" localSheetId="8" hidden="1">'Мед реабил(КС) (9)'!$A$11:$F$11</definedName>
    <definedName name="_xlnm._FilterDatabase" localSheetId="6" hidden="1">'Неотложная помощь(7)'!$A$11:$I$66</definedName>
    <definedName name="_xlnm._FilterDatabase" localSheetId="7" hidden="1">'Обращения по заболеванию (8)'!$A$11:$F$11</definedName>
    <definedName name="_xlnm._FilterDatabase" localSheetId="0" hidden="1">'Профилактика (1)'!$A$11:$F$11</definedName>
    <definedName name="_xlnm._FilterDatabase" localSheetId="14" hidden="1">'Прочие услуги (15)'!$A$9:$F$9</definedName>
    <definedName name="_xlnm._FilterDatabase" localSheetId="15" hidden="1">'Сах диабет (№ 16)'!$A$9:$H$13</definedName>
    <definedName name="_xlnm.Print_Titles" localSheetId="10">'ВМП (11)'!$A:$D,'ВМП (11)'!$9:$11</definedName>
    <definedName name="_xlnm.Print_Titles" localSheetId="13">'Диагностические услуги (14)'!$A:$D,'Диагностические услуги (14)'!$7:$9</definedName>
    <definedName name="_xlnm.Print_Titles" localSheetId="1">'Диспансерное наблюд (2) '!$A:$D,'Диспансерное наблюд (2) '!$9:$10</definedName>
    <definedName name="_xlnm.Print_Titles" localSheetId="12">'Дневной стационар (13) '!$7:$9</definedName>
    <definedName name="_xlnm.Print_Titles" localSheetId="9">'Круглосуточный стац (10)'!$A:$D,'Круглосуточный стац (10)'!$9:$11</definedName>
    <definedName name="_xlnm.Print_Titles" localSheetId="11">'Мед реабил(ДС) (12)'!$A:$D,'Мед реабил(ДС) (12)'!$9:$11</definedName>
    <definedName name="_xlnm.Print_Titles" localSheetId="8">'Мед реабил(КС) (9)'!$A:$D,'Мед реабил(КС) (9)'!$9:$11</definedName>
    <definedName name="_xlnm.Print_Titles" localSheetId="6">'Неотложная помощь(7)'!$9:$11</definedName>
    <definedName name="_xlnm.Print_Titles" localSheetId="7">'Обращения по заболеванию (8)'!$A:$D,'Обращения по заболеванию (8)'!$9:$11</definedName>
    <definedName name="_xlnm.Print_Titles" localSheetId="0">'Профилактика (1)'!$9:$11</definedName>
    <definedName name="_xlnm.Print_Titles" localSheetId="14">'Прочие услуги (15)'!$A:$D,'Прочие услуги (15)'!$7:$9</definedName>
    <definedName name="_xlnm.Print_Titles" localSheetId="15">'Сах диабет (№ 16)'!$A:$D,'Сах диабет (№ 16)'!$8:$9</definedName>
    <definedName name="_xlnm.Print_Area" localSheetId="10">'ВМП (11)'!$A$1:$H$40</definedName>
    <definedName name="_xlnm.Print_Area" localSheetId="13">'Диагностические услуги (14)'!$A$1:$H$124</definedName>
    <definedName name="_xlnm.Print_Area" localSheetId="3">'Диспансеризация (4)'!$A$1:$K$34</definedName>
    <definedName name="_xlnm.Print_Area" localSheetId="4">'Диспансеризация 2 этап (5)'!$A$1:$G$21</definedName>
    <definedName name="_xlnm.Print_Area" localSheetId="1">'Диспансерное наблюд (2) '!$A$1:$H$166</definedName>
    <definedName name="_xlnm.Print_Area" localSheetId="12">'Дневной стационар (13) '!$A$1:$H$121</definedName>
    <definedName name="_xlnm.Print_Area" localSheetId="9">'Круглосуточный стац (10)'!$A$1:$H$152</definedName>
    <definedName name="_xlnm.Print_Area" localSheetId="11">'Мед реабил(ДС) (12)'!$A$1:$H$14</definedName>
    <definedName name="_xlnm.Print_Area" localSheetId="8">'Мед реабил(КС) (9)'!$A$1:$H$19</definedName>
    <definedName name="_xlnm.Print_Area" localSheetId="6">'Неотложная помощь(7)'!$A$1:$H$65</definedName>
    <definedName name="_xlnm.Print_Area" localSheetId="7">'Обращения по заболеванию (8)'!$A$1:$H$51</definedName>
    <definedName name="_xlnm.Print_Area" localSheetId="2">'Проф осмотры (3)'!$A$1:$K$39</definedName>
    <definedName name="_xlnm.Print_Area" localSheetId="0">'Профилактика (1)'!$A$1:$H$391</definedName>
    <definedName name="_xlnm.Print_Area" localSheetId="14">'Прочие услуги (15)'!$A$1:$H$24</definedName>
    <definedName name="_xlnm.Print_Area" localSheetId="15">'Сах диабет (№ 16)'!$A$1:$H$13</definedName>
    <definedName name="_xlnm.Print_Area" localSheetId="5">'Углублен.диспансеризация (6) '!$A$1:$G$14</definedName>
  </definedNames>
  <calcPr calcId="145621"/>
</workbook>
</file>

<file path=xl/calcChain.xml><?xml version="1.0" encoding="utf-8"?>
<calcChain xmlns="http://schemas.openxmlformats.org/spreadsheetml/2006/main">
  <c r="G152" i="6" l="1"/>
  <c r="H152" i="6"/>
  <c r="H13" i="45" l="1"/>
  <c r="G13" i="45"/>
  <c r="F13" i="45"/>
  <c r="E13" i="45"/>
  <c r="H10" i="45"/>
  <c r="G10" i="45"/>
  <c r="F10" i="45"/>
  <c r="E10" i="45"/>
  <c r="E9" i="45"/>
  <c r="F9" i="45" s="1"/>
  <c r="G9" i="45" s="1"/>
  <c r="H9" i="45" s="1"/>
  <c r="B9" i="45"/>
  <c r="C9" i="45" s="1"/>
  <c r="D9" i="45" s="1"/>
  <c r="E391" i="39" l="1"/>
  <c r="G391" i="39"/>
  <c r="G378" i="39"/>
  <c r="E378" i="39"/>
  <c r="G355" i="39"/>
  <c r="E355" i="39"/>
  <c r="G327" i="39"/>
  <c r="E327" i="39"/>
  <c r="E301" i="39"/>
  <c r="G301" i="39"/>
  <c r="G276" i="39"/>
  <c r="E276" i="39"/>
  <c r="G260" i="39" l="1"/>
  <c r="E260" i="39"/>
  <c r="E211" i="39"/>
  <c r="G211" i="39"/>
  <c r="G190" i="39"/>
  <c r="E190" i="39"/>
  <c r="E177" i="39"/>
  <c r="G177" i="39"/>
  <c r="E160" i="39"/>
  <c r="G160" i="39"/>
  <c r="E148" i="39"/>
  <c r="G148" i="39"/>
  <c r="G117" i="39"/>
  <c r="E117" i="39"/>
  <c r="G105" i="39"/>
  <c r="E105" i="39"/>
  <c r="E95" i="39"/>
  <c r="G95" i="39"/>
  <c r="G87" i="39"/>
  <c r="E87" i="39"/>
  <c r="E76" i="39"/>
  <c r="G78" i="39"/>
  <c r="G76" i="39" s="1"/>
  <c r="E38" i="39"/>
  <c r="G38" i="39"/>
  <c r="H120" i="4" l="1"/>
  <c r="G120" i="4"/>
  <c r="F152" i="6" l="1"/>
  <c r="E152" i="6"/>
  <c r="G148" i="6"/>
  <c r="G137" i="6"/>
  <c r="G133" i="6"/>
  <c r="G118" i="6"/>
  <c r="G116" i="6"/>
  <c r="G114" i="6"/>
  <c r="G111" i="6"/>
  <c r="F108" i="6"/>
  <c r="E108" i="6"/>
  <c r="H108" i="6"/>
  <c r="G108" i="6"/>
  <c r="G101" i="6"/>
  <c r="G94" i="6"/>
  <c r="G89" i="6"/>
  <c r="G84" i="6"/>
  <c r="G75" i="6"/>
  <c r="G71" i="6"/>
  <c r="H61" i="6"/>
  <c r="G61" i="6"/>
  <c r="F61" i="6"/>
  <c r="E61" i="6"/>
  <c r="H50" i="6"/>
  <c r="G50" i="6"/>
  <c r="F50" i="6"/>
  <c r="E50" i="6"/>
  <c r="H34" i="6"/>
  <c r="G34" i="6"/>
  <c r="F34" i="6"/>
  <c r="E34" i="6"/>
  <c r="H12" i="6"/>
  <c r="F12" i="6"/>
  <c r="E12" i="6"/>
  <c r="G12" i="6"/>
  <c r="H133" i="6" l="1"/>
  <c r="F133" i="6"/>
  <c r="E133" i="6"/>
  <c r="H116" i="6"/>
  <c r="F116" i="6"/>
  <c r="E116" i="6"/>
  <c r="H84" i="6"/>
  <c r="F84" i="6"/>
  <c r="E84" i="6"/>
  <c r="H69" i="6"/>
  <c r="G69" i="6"/>
  <c r="F69" i="6"/>
  <c r="E69" i="6"/>
  <c r="H67" i="6"/>
  <c r="G67" i="6"/>
  <c r="F67" i="6"/>
  <c r="E67" i="6"/>
  <c r="H65" i="6"/>
  <c r="G65" i="6"/>
  <c r="F65" i="6"/>
  <c r="E65" i="6"/>
  <c r="H40" i="5"/>
  <c r="G40" i="5"/>
  <c r="F40" i="5"/>
  <c r="E40" i="5"/>
  <c r="H34" i="5"/>
  <c r="G34" i="5"/>
  <c r="F34" i="5"/>
  <c r="E34" i="5"/>
  <c r="H12" i="5"/>
  <c r="G12" i="5"/>
  <c r="F12" i="5"/>
  <c r="E12" i="5"/>
  <c r="H36" i="5"/>
  <c r="G36" i="5"/>
  <c r="F36" i="5"/>
  <c r="E36" i="5"/>
  <c r="H31" i="5"/>
  <c r="G31" i="5"/>
  <c r="F31" i="5"/>
  <c r="E31" i="5"/>
  <c r="H28" i="5"/>
  <c r="G28" i="5"/>
  <c r="F28" i="5"/>
  <c r="E28" i="5"/>
  <c r="H24" i="44" l="1"/>
  <c r="G24" i="44"/>
  <c r="F24" i="44"/>
  <c r="E24" i="44"/>
  <c r="H22" i="44"/>
  <c r="H21" i="44" s="1"/>
  <c r="G22" i="44"/>
  <c r="G21" i="44" s="1"/>
  <c r="F21" i="44"/>
  <c r="F22" i="44"/>
  <c r="E22" i="44"/>
  <c r="E21" i="44" s="1"/>
  <c r="H19" i="44"/>
  <c r="H18" i="44" s="1"/>
  <c r="G19" i="44"/>
  <c r="G18" i="44" s="1"/>
  <c r="F19" i="44"/>
  <c r="F18" i="44" s="1"/>
  <c r="E19" i="44"/>
  <c r="E18" i="44" s="1"/>
  <c r="H16" i="44"/>
  <c r="H15" i="44" s="1"/>
  <c r="G16" i="44"/>
  <c r="G15" i="44" s="1"/>
  <c r="F16" i="44"/>
  <c r="F15" i="44" s="1"/>
  <c r="E16" i="44"/>
  <c r="E15" i="44" s="1"/>
  <c r="G10" i="44"/>
  <c r="H11" i="44"/>
  <c r="H10" i="44" s="1"/>
  <c r="G11" i="44"/>
  <c r="F11" i="44"/>
  <c r="F10" i="44" s="1"/>
  <c r="E11" i="44"/>
  <c r="E10" i="44" s="1"/>
  <c r="B9" i="44"/>
  <c r="C9" i="44" s="1"/>
  <c r="D9" i="44" s="1"/>
  <c r="H118" i="4"/>
  <c r="H117" i="4" s="1"/>
  <c r="G118" i="4"/>
  <c r="G117" i="4" s="1"/>
  <c r="F117" i="4"/>
  <c r="E117" i="4"/>
  <c r="F102" i="4"/>
  <c r="E102" i="4"/>
  <c r="H103" i="4"/>
  <c r="H102" i="4" s="1"/>
  <c r="G103" i="4"/>
  <c r="G102" i="4" s="1"/>
  <c r="H79" i="4"/>
  <c r="G79" i="4"/>
  <c r="F79" i="4"/>
  <c r="E79" i="4"/>
  <c r="H73" i="4"/>
  <c r="G73" i="4"/>
  <c r="F73" i="4"/>
  <c r="E73" i="4"/>
  <c r="H60" i="4"/>
  <c r="G60" i="4"/>
  <c r="F60" i="4"/>
  <c r="E60" i="4"/>
  <c r="F53" i="4"/>
  <c r="E53" i="4"/>
  <c r="H53" i="4"/>
  <c r="G53" i="4"/>
  <c r="F43" i="4"/>
  <c r="G43" i="4"/>
  <c r="H43" i="4"/>
  <c r="E43" i="4"/>
  <c r="H42" i="4" l="1"/>
  <c r="H41" i="4"/>
  <c r="G41" i="4"/>
  <c r="H40" i="4"/>
  <c r="G40" i="4"/>
  <c r="H39" i="4"/>
  <c r="G39" i="4"/>
  <c r="H38" i="4"/>
  <c r="G38" i="4"/>
  <c r="H35" i="4"/>
  <c r="G35" i="4"/>
  <c r="F35" i="4"/>
  <c r="E35" i="4"/>
  <c r="H32" i="4"/>
  <c r="G32" i="4"/>
  <c r="F32" i="4"/>
  <c r="E32" i="4"/>
  <c r="E22" i="4"/>
  <c r="F22" i="4"/>
  <c r="G22" i="4"/>
  <c r="H28" i="4"/>
  <c r="H22" i="4" s="1"/>
  <c r="H21" i="4"/>
  <c r="G21" i="4"/>
  <c r="H20" i="4"/>
  <c r="H19" i="4"/>
  <c r="H18" i="4"/>
  <c r="H17" i="4"/>
  <c r="G17" i="4"/>
  <c r="H16" i="4"/>
  <c r="G16" i="4"/>
  <c r="G21" i="40"/>
  <c r="F21" i="40"/>
  <c r="E21" i="40"/>
  <c r="D21" i="40"/>
  <c r="J34" i="20"/>
  <c r="I34" i="20"/>
  <c r="G34" i="20"/>
  <c r="F34" i="20"/>
  <c r="E34" i="20"/>
  <c r="H33" i="20"/>
  <c r="H32" i="20"/>
  <c r="H31" i="20"/>
  <c r="H30" i="20"/>
  <c r="H29" i="20"/>
  <c r="H28" i="20"/>
  <c r="H27" i="20"/>
  <c r="H25" i="20"/>
  <c r="H24" i="20"/>
  <c r="H23" i="20"/>
  <c r="H22" i="20"/>
  <c r="H21" i="20"/>
  <c r="H20" i="20"/>
  <c r="H19" i="20"/>
  <c r="H18" i="20"/>
  <c r="H17" i="20"/>
  <c r="H16" i="20"/>
  <c r="K15" i="20"/>
  <c r="K34" i="20" s="1"/>
  <c r="H15" i="20"/>
  <c r="H14" i="20"/>
  <c r="K39" i="43"/>
  <c r="J39" i="43"/>
  <c r="I39" i="43"/>
  <c r="H39" i="43"/>
  <c r="G15" i="4" l="1"/>
  <c r="H15" i="4"/>
  <c r="G37" i="4"/>
  <c r="H37" i="4"/>
  <c r="H34" i="20"/>
  <c r="H231" i="39"/>
  <c r="G65" i="17" l="1"/>
  <c r="E65" i="17"/>
  <c r="G62" i="17"/>
  <c r="E62" i="17"/>
  <c r="H76" i="26"/>
  <c r="G76" i="26"/>
  <c r="F76" i="26"/>
  <c r="E76" i="26"/>
  <c r="H80" i="26"/>
  <c r="G80" i="26"/>
  <c r="F80" i="26"/>
  <c r="E80" i="26"/>
  <c r="H73" i="26"/>
  <c r="G73" i="26"/>
  <c r="F73" i="26"/>
  <c r="E73" i="26"/>
  <c r="H83" i="4" l="1"/>
  <c r="G83" i="4"/>
  <c r="F83" i="4"/>
  <c r="E83" i="4"/>
  <c r="H51" i="14" l="1"/>
  <c r="G51" i="14"/>
  <c r="H152" i="38" l="1"/>
  <c r="H146" i="38"/>
  <c r="H141" i="38"/>
  <c r="H138" i="38"/>
  <c r="H113" i="38"/>
  <c r="H110" i="38"/>
  <c r="H109" i="38"/>
  <c r="H107" i="38"/>
  <c r="H48" i="38"/>
  <c r="H44" i="38"/>
  <c r="H73" i="38" l="1"/>
  <c r="H72" i="38"/>
  <c r="H57" i="38" l="1"/>
  <c r="E86" i="4" l="1"/>
  <c r="F86" i="4"/>
  <c r="E91" i="4"/>
  <c r="F91" i="4"/>
  <c r="G39" i="43" l="1"/>
  <c r="F39" i="43"/>
  <c r="E39" i="43"/>
  <c r="D39" i="43"/>
  <c r="D26" i="20" l="1"/>
  <c r="D34" i="20" s="1"/>
  <c r="G59" i="17" l="1"/>
  <c r="E59" i="17"/>
  <c r="H52" i="17"/>
  <c r="G52" i="17"/>
  <c r="F52" i="17"/>
  <c r="E52" i="17"/>
  <c r="G50" i="17"/>
  <c r="E50" i="17"/>
  <c r="G43" i="17"/>
  <c r="E43" i="17"/>
  <c r="G39" i="17"/>
  <c r="E39" i="17"/>
  <c r="G25" i="17"/>
  <c r="E25" i="17"/>
  <c r="G22" i="17"/>
  <c r="E22" i="17"/>
  <c r="G16" i="17"/>
  <c r="E16" i="17"/>
  <c r="H14" i="17"/>
  <c r="G14" i="17"/>
  <c r="F14" i="17"/>
  <c r="E14" i="17"/>
  <c r="H12" i="17"/>
  <c r="H65" i="17" s="1"/>
  <c r="G12" i="17"/>
  <c r="F12" i="17"/>
  <c r="F65" i="17" s="1"/>
  <c r="E12" i="17"/>
  <c r="H14" i="42"/>
  <c r="G14" i="42"/>
  <c r="E14" i="42"/>
  <c r="G19" i="41"/>
  <c r="E20" i="14"/>
  <c r="F20" i="14"/>
  <c r="G20" i="14"/>
  <c r="H20" i="14"/>
  <c r="E23" i="14"/>
  <c r="F23" i="14"/>
  <c r="H23" i="14"/>
  <c r="E36" i="14"/>
  <c r="E40" i="14"/>
  <c r="F40" i="14"/>
  <c r="G40" i="14"/>
  <c r="H40" i="14"/>
  <c r="G12" i="14"/>
  <c r="E12" i="14"/>
  <c r="E19" i="41"/>
  <c r="H121" i="26"/>
  <c r="G121" i="26"/>
  <c r="F121" i="26"/>
  <c r="E121" i="26"/>
  <c r="H118" i="26"/>
  <c r="H117" i="26" s="1"/>
  <c r="G118" i="26"/>
  <c r="G117" i="26" s="1"/>
  <c r="F118" i="26"/>
  <c r="F117" i="26" s="1"/>
  <c r="E118" i="26"/>
  <c r="E117" i="26" s="1"/>
  <c r="H112" i="26"/>
  <c r="H111" i="26" s="1"/>
  <c r="G112" i="26"/>
  <c r="G111" i="26" s="1"/>
  <c r="F112" i="26"/>
  <c r="F111" i="26" s="1"/>
  <c r="E112" i="26"/>
  <c r="E111" i="26" s="1"/>
  <c r="H107" i="26"/>
  <c r="H106" i="26" s="1"/>
  <c r="G107" i="26"/>
  <c r="G106" i="26" s="1"/>
  <c r="F107" i="26"/>
  <c r="F106" i="26" s="1"/>
  <c r="E107" i="26"/>
  <c r="E106" i="26" s="1"/>
  <c r="H104" i="26"/>
  <c r="G104" i="26"/>
  <c r="F104" i="26"/>
  <c r="E104" i="26"/>
  <c r="H101" i="26"/>
  <c r="H100" i="26" s="1"/>
  <c r="G101" i="26"/>
  <c r="F101" i="26"/>
  <c r="F100" i="26" s="1"/>
  <c r="E101" i="26"/>
  <c r="E100" i="26" s="1"/>
  <c r="H98" i="26"/>
  <c r="G98" i="26"/>
  <c r="F98" i="26"/>
  <c r="E98" i="26"/>
  <c r="H94" i="26"/>
  <c r="G94" i="26"/>
  <c r="F94" i="26"/>
  <c r="E94" i="26"/>
  <c r="H89" i="26"/>
  <c r="G89" i="26"/>
  <c r="F89" i="26"/>
  <c r="E89" i="26"/>
  <c r="H86" i="26"/>
  <c r="G86" i="26"/>
  <c r="F86" i="26"/>
  <c r="E86" i="26"/>
  <c r="H83" i="26"/>
  <c r="G83" i="26"/>
  <c r="F83" i="26"/>
  <c r="F82" i="26" s="1"/>
  <c r="E83" i="26"/>
  <c r="E82" i="26" s="1"/>
  <c r="E77" i="26"/>
  <c r="H74" i="26"/>
  <c r="G74" i="26"/>
  <c r="F74" i="26"/>
  <c r="E74" i="26"/>
  <c r="G71" i="26"/>
  <c r="G70" i="26" s="1"/>
  <c r="H71" i="26"/>
  <c r="H70" i="26" s="1"/>
  <c r="F71" i="26"/>
  <c r="F70" i="26" s="1"/>
  <c r="E71" i="26"/>
  <c r="E70" i="26" s="1"/>
  <c r="H68" i="26"/>
  <c r="G68" i="26"/>
  <c r="F68" i="26"/>
  <c r="E68" i="26"/>
  <c r="H63" i="26"/>
  <c r="G63" i="26"/>
  <c r="G62" i="26" s="1"/>
  <c r="F63" i="26"/>
  <c r="F62" i="26" s="1"/>
  <c r="E63" i="26"/>
  <c r="E62" i="26" s="1"/>
  <c r="H60" i="26"/>
  <c r="G60" i="26"/>
  <c r="F60" i="26"/>
  <c r="E60" i="26"/>
  <c r="H57" i="26"/>
  <c r="G57" i="26"/>
  <c r="F57" i="26"/>
  <c r="E57" i="26"/>
  <c r="H54" i="26"/>
  <c r="G54" i="26"/>
  <c r="F54" i="26"/>
  <c r="E54" i="26"/>
  <c r="H51" i="26"/>
  <c r="H50" i="26" s="1"/>
  <c r="G51" i="26"/>
  <c r="G50" i="26" s="1"/>
  <c r="F51" i="26"/>
  <c r="F50" i="26" s="1"/>
  <c r="E51" i="26"/>
  <c r="E50" i="26" s="1"/>
  <c r="H48" i="26"/>
  <c r="H47" i="26" s="1"/>
  <c r="G48" i="26"/>
  <c r="G47" i="26" s="1"/>
  <c r="F48" i="26"/>
  <c r="F47" i="26" s="1"/>
  <c r="E48" i="26"/>
  <c r="E47" i="26" s="1"/>
  <c r="H45" i="26"/>
  <c r="H44" i="26" s="1"/>
  <c r="G45" i="26"/>
  <c r="G44" i="26" s="1"/>
  <c r="F45" i="26"/>
  <c r="F44" i="26" s="1"/>
  <c r="E45" i="26"/>
  <c r="E44" i="26" s="1"/>
  <c r="H42" i="26"/>
  <c r="H41" i="26" s="1"/>
  <c r="G42" i="26"/>
  <c r="G41" i="26" s="1"/>
  <c r="F42" i="26"/>
  <c r="F41" i="26" s="1"/>
  <c r="E42" i="26"/>
  <c r="E41" i="26" s="1"/>
  <c r="H39" i="26"/>
  <c r="H38" i="26" s="1"/>
  <c r="G39" i="26"/>
  <c r="G38" i="26" s="1"/>
  <c r="F39" i="26"/>
  <c r="F38" i="26" s="1"/>
  <c r="E39" i="26"/>
  <c r="E38" i="26" s="1"/>
  <c r="H35" i="26"/>
  <c r="G35" i="26"/>
  <c r="F35" i="26"/>
  <c r="E35" i="26"/>
  <c r="E29" i="26"/>
  <c r="H29" i="26"/>
  <c r="G29" i="26"/>
  <c r="F29" i="26"/>
  <c r="H25" i="26"/>
  <c r="G25" i="26"/>
  <c r="F25" i="26"/>
  <c r="E25" i="26"/>
  <c r="H22" i="26"/>
  <c r="G22" i="26"/>
  <c r="F22" i="26"/>
  <c r="F21" i="26" s="1"/>
  <c r="E22" i="26"/>
  <c r="E21" i="26" s="1"/>
  <c r="H17" i="26"/>
  <c r="G17" i="26"/>
  <c r="G16" i="26" s="1"/>
  <c r="F17" i="26"/>
  <c r="H19" i="26"/>
  <c r="G19" i="26"/>
  <c r="F19" i="26"/>
  <c r="E19" i="26"/>
  <c r="E17" i="26"/>
  <c r="H13" i="26"/>
  <c r="G13" i="26"/>
  <c r="F13" i="26"/>
  <c r="E13" i="26"/>
  <c r="H11" i="26"/>
  <c r="G11" i="26"/>
  <c r="F11" i="26"/>
  <c r="E11" i="26"/>
  <c r="E10" i="26" s="1"/>
  <c r="G82" i="26" l="1"/>
  <c r="G100" i="26"/>
  <c r="H82" i="26"/>
  <c r="H62" i="26"/>
  <c r="E28" i="26"/>
  <c r="H21" i="26"/>
  <c r="G10" i="26"/>
  <c r="G21" i="26"/>
  <c r="F10" i="26"/>
  <c r="G28" i="26"/>
  <c r="F28" i="26"/>
  <c r="H28" i="26"/>
  <c r="E16" i="26"/>
  <c r="H16" i="26"/>
  <c r="F16" i="26"/>
  <c r="H10" i="26"/>
  <c r="G124" i="26" l="1"/>
  <c r="E124" i="26"/>
  <c r="H124" i="26"/>
  <c r="F124" i="26"/>
  <c r="H12" i="42" l="1"/>
  <c r="G12" i="42"/>
  <c r="F12" i="42"/>
  <c r="F14" i="42" s="1"/>
  <c r="E12" i="42"/>
  <c r="B13" i="42"/>
  <c r="H16" i="41"/>
  <c r="H19" i="41" s="1"/>
  <c r="G16" i="41"/>
  <c r="F16" i="41"/>
  <c r="F19" i="41" s="1"/>
  <c r="E16" i="41"/>
  <c r="H14" i="41"/>
  <c r="G14" i="41"/>
  <c r="F14" i="41"/>
  <c r="E14" i="41"/>
  <c r="H12" i="41"/>
  <c r="G12" i="41"/>
  <c r="F12" i="41"/>
  <c r="E12" i="41"/>
  <c r="B17" i="41"/>
  <c r="B15" i="41"/>
  <c r="B13" i="41"/>
  <c r="G344" i="39" l="1"/>
  <c r="E344" i="39"/>
  <c r="H323" i="39"/>
  <c r="G323" i="39"/>
  <c r="F323" i="39"/>
  <c r="E323" i="39"/>
  <c r="H319" i="39"/>
  <c r="G319" i="39"/>
  <c r="F319" i="39"/>
  <c r="E319" i="39"/>
  <c r="H317" i="39"/>
  <c r="G317" i="39"/>
  <c r="F317" i="39"/>
  <c r="E317" i="39"/>
  <c r="H274" i="39"/>
  <c r="G274" i="39"/>
  <c r="F274" i="39"/>
  <c r="E274" i="39"/>
  <c r="H269" i="39"/>
  <c r="G269" i="39"/>
  <c r="F269" i="39"/>
  <c r="E269" i="39"/>
  <c r="H266" i="39"/>
  <c r="G266" i="39"/>
  <c r="F266" i="39"/>
  <c r="E266" i="39"/>
  <c r="H264" i="39"/>
  <c r="G264" i="39"/>
  <c r="F264" i="39"/>
  <c r="E264" i="39"/>
  <c r="H256" i="39"/>
  <c r="G256" i="39"/>
  <c r="F256" i="39"/>
  <c r="E256" i="39"/>
  <c r="H248" i="39"/>
  <c r="G248" i="39"/>
  <c r="F248" i="39"/>
  <c r="E248" i="39"/>
  <c r="H246" i="39"/>
  <c r="G246" i="39"/>
  <c r="F246" i="39"/>
  <c r="E246" i="39"/>
  <c r="H244" i="39"/>
  <c r="G244" i="39"/>
  <c r="F244" i="39"/>
  <c r="E244" i="39"/>
  <c r="H228" i="39"/>
  <c r="G228" i="39"/>
  <c r="F228" i="39"/>
  <c r="E228" i="39"/>
  <c r="H225" i="39"/>
  <c r="G225" i="39"/>
  <c r="F225" i="39"/>
  <c r="E225" i="39"/>
  <c r="H223" i="39"/>
  <c r="G223" i="39"/>
  <c r="F223" i="39"/>
  <c r="E223" i="39"/>
  <c r="E173" i="39"/>
  <c r="H173" i="39"/>
  <c r="G173" i="39"/>
  <c r="F173" i="39"/>
  <c r="G128" i="39"/>
  <c r="E128" i="39"/>
  <c r="H73" i="39"/>
  <c r="G73" i="39"/>
  <c r="F73" i="39"/>
  <c r="E73" i="39"/>
  <c r="H70" i="39"/>
  <c r="G70" i="39"/>
  <c r="F70" i="39"/>
  <c r="E70" i="39"/>
  <c r="H21" i="39"/>
  <c r="G21" i="39"/>
  <c r="F21" i="39"/>
  <c r="E21" i="39"/>
  <c r="H12" i="39"/>
  <c r="G12" i="39"/>
  <c r="F12" i="39"/>
  <c r="F391" i="39" s="1"/>
  <c r="E12" i="39"/>
  <c r="F14" i="21"/>
  <c r="B165" i="38"/>
  <c r="B164" i="38"/>
  <c r="B163" i="38"/>
  <c r="B162" i="38"/>
  <c r="B161" i="38"/>
  <c r="B160" i="38"/>
  <c r="B159" i="38"/>
  <c r="H158" i="38"/>
  <c r="G158" i="38"/>
  <c r="F158" i="38"/>
  <c r="E158" i="38"/>
  <c r="B157" i="38"/>
  <c r="B156" i="38"/>
  <c r="B155" i="38"/>
  <c r="B154" i="38"/>
  <c r="B153" i="38"/>
  <c r="B152" i="38"/>
  <c r="B151" i="38"/>
  <c r="B150" i="38"/>
  <c r="B149" i="38"/>
  <c r="B148" i="38"/>
  <c r="B147" i="38"/>
  <c r="B146" i="38"/>
  <c r="B145" i="38"/>
  <c r="H144" i="38"/>
  <c r="G144" i="38"/>
  <c r="F144" i="38"/>
  <c r="E144" i="38"/>
  <c r="B143" i="38"/>
  <c r="B142" i="38"/>
  <c r="B141" i="38"/>
  <c r="B140" i="38"/>
  <c r="B139" i="38"/>
  <c r="B138" i="38"/>
  <c r="B137" i="38"/>
  <c r="B136" i="38"/>
  <c r="H135" i="38"/>
  <c r="G135" i="38"/>
  <c r="F135" i="38"/>
  <c r="E135" i="38"/>
  <c r="B134" i="38"/>
  <c r="B133" i="38"/>
  <c r="B132" i="38"/>
  <c r="B131" i="38"/>
  <c r="B130" i="38"/>
  <c r="B129" i="38"/>
  <c r="B128" i="38"/>
  <c r="H127" i="38"/>
  <c r="G127" i="38"/>
  <c r="F127" i="38"/>
  <c r="E127" i="38"/>
  <c r="B126" i="38"/>
  <c r="B125" i="38"/>
  <c r="B124" i="38"/>
  <c r="B123" i="38"/>
  <c r="B122" i="38"/>
  <c r="B121" i="38"/>
  <c r="B120" i="38"/>
  <c r="B119" i="38"/>
  <c r="B118" i="38"/>
  <c r="B117" i="38"/>
  <c r="H116" i="38"/>
  <c r="G116" i="38"/>
  <c r="F116" i="38"/>
  <c r="E116" i="38"/>
  <c r="B115" i="38"/>
  <c r="B114" i="38"/>
  <c r="B113" i="38"/>
  <c r="B112" i="38"/>
  <c r="B111" i="38"/>
  <c r="B110" i="38"/>
  <c r="B109" i="38"/>
  <c r="B108" i="38"/>
  <c r="B107" i="38"/>
  <c r="H106" i="38"/>
  <c r="G106" i="38"/>
  <c r="F106" i="38"/>
  <c r="E106" i="38"/>
  <c r="B105" i="38"/>
  <c r="B104" i="38"/>
  <c r="B103" i="38"/>
  <c r="H102" i="38"/>
  <c r="G102" i="38"/>
  <c r="F102" i="38"/>
  <c r="E102" i="38"/>
  <c r="B101" i="38"/>
  <c r="H100" i="38"/>
  <c r="G100" i="38"/>
  <c r="F100" i="38"/>
  <c r="E100" i="38"/>
  <c r="B99" i="38"/>
  <c r="H98" i="38"/>
  <c r="G98" i="38"/>
  <c r="F98" i="38"/>
  <c r="E98" i="38"/>
  <c r="B97" i="38"/>
  <c r="B96" i="38"/>
  <c r="B95" i="38"/>
  <c r="H94" i="38"/>
  <c r="G94" i="38"/>
  <c r="F94" i="38"/>
  <c r="E94" i="38"/>
  <c r="B93" i="38"/>
  <c r="B92" i="38"/>
  <c r="B91" i="38"/>
  <c r="B90" i="38"/>
  <c r="B89" i="38"/>
  <c r="B88" i="38"/>
  <c r="B87" i="38"/>
  <c r="H86" i="38"/>
  <c r="G86" i="38"/>
  <c r="F86" i="38"/>
  <c r="E86" i="38"/>
  <c r="B85" i="38"/>
  <c r="B84" i="38"/>
  <c r="B83" i="38"/>
  <c r="B82" i="38"/>
  <c r="B81" i="38"/>
  <c r="B80" i="38"/>
  <c r="H79" i="38"/>
  <c r="G79" i="38"/>
  <c r="F79" i="38"/>
  <c r="E79" i="38"/>
  <c r="B78" i="38"/>
  <c r="B77" i="38"/>
  <c r="B76" i="38"/>
  <c r="B75" i="38"/>
  <c r="H74" i="38"/>
  <c r="G74" i="38"/>
  <c r="F74" i="38"/>
  <c r="E74" i="38"/>
  <c r="B73" i="38"/>
  <c r="B72" i="38"/>
  <c r="B71" i="38"/>
  <c r="B70" i="38"/>
  <c r="B69" i="38"/>
  <c r="B68" i="38"/>
  <c r="H67" i="38"/>
  <c r="G67" i="38"/>
  <c r="F67" i="38"/>
  <c r="E67" i="38"/>
  <c r="B66" i="38"/>
  <c r="B65" i="38"/>
  <c r="B64" i="38"/>
  <c r="B63" i="38"/>
  <c r="B62" i="38"/>
  <c r="B61" i="38"/>
  <c r="B60" i="38"/>
  <c r="B59" i="38"/>
  <c r="H58" i="38"/>
  <c r="G58" i="38"/>
  <c r="F58" i="38"/>
  <c r="E58" i="38"/>
  <c r="B57" i="38"/>
  <c r="H56" i="38"/>
  <c r="G56" i="38"/>
  <c r="F56" i="38"/>
  <c r="E56" i="38"/>
  <c r="B55" i="38"/>
  <c r="B54" i="38"/>
  <c r="B53" i="38"/>
  <c r="B52" i="38"/>
  <c r="B51" i="38"/>
  <c r="B50" i="38"/>
  <c r="H49" i="38"/>
  <c r="G49" i="38"/>
  <c r="F49" i="38"/>
  <c r="E49" i="38"/>
  <c r="B48" i="38"/>
  <c r="B47" i="38"/>
  <c r="B46" i="38"/>
  <c r="B45" i="38"/>
  <c r="B44" i="38"/>
  <c r="B43" i="38"/>
  <c r="H42" i="38"/>
  <c r="G42" i="38"/>
  <c r="F42" i="38"/>
  <c r="E42" i="38"/>
  <c r="B41" i="38"/>
  <c r="B40" i="38"/>
  <c r="H39" i="38"/>
  <c r="G39" i="38"/>
  <c r="F39" i="38"/>
  <c r="E39" i="38"/>
  <c r="B38" i="38"/>
  <c r="B37" i="38"/>
  <c r="B36" i="38"/>
  <c r="B35" i="38"/>
  <c r="B34" i="38"/>
  <c r="B33" i="38"/>
  <c r="B32" i="38"/>
  <c r="H31" i="38"/>
  <c r="G31" i="38"/>
  <c r="F31" i="38"/>
  <c r="E31" i="38"/>
  <c r="E166" i="38" s="1"/>
  <c r="B30" i="38"/>
  <c r="B29" i="38"/>
  <c r="B28" i="38"/>
  <c r="B27" i="38"/>
  <c r="B26" i="38"/>
  <c r="B25" i="38"/>
  <c r="B24" i="38"/>
  <c r="B23" i="38"/>
  <c r="B22" i="38"/>
  <c r="B21" i="38"/>
  <c r="B20" i="38"/>
  <c r="B19" i="38"/>
  <c r="B18" i="38"/>
  <c r="B17" i="38"/>
  <c r="B16" i="38"/>
  <c r="B15" i="38"/>
  <c r="B14" i="38"/>
  <c r="B13" i="38"/>
  <c r="H12" i="38"/>
  <c r="G12" i="38"/>
  <c r="G166" i="38" s="1"/>
  <c r="F12" i="38"/>
  <c r="E12" i="38"/>
  <c r="H391" i="39" l="1"/>
  <c r="H166" i="38"/>
  <c r="H109" i="4"/>
  <c r="G109" i="4"/>
  <c r="F109" i="4"/>
  <c r="E109" i="4"/>
  <c r="H105" i="4"/>
  <c r="G105" i="4"/>
  <c r="F105" i="4"/>
  <c r="E105" i="4"/>
  <c r="H100" i="4"/>
  <c r="G100" i="4"/>
  <c r="F100" i="4"/>
  <c r="E100" i="4"/>
  <c r="G93" i="4"/>
  <c r="H93" i="4"/>
  <c r="F93" i="4"/>
  <c r="E93" i="4"/>
  <c r="H91" i="4"/>
  <c r="G91" i="4"/>
  <c r="H86" i="4"/>
  <c r="G86" i="4"/>
  <c r="H81" i="4"/>
  <c r="G81" i="4"/>
  <c r="F81" i="4"/>
  <c r="E81" i="4"/>
  <c r="H70" i="4"/>
  <c r="G70" i="4"/>
  <c r="F70" i="4"/>
  <c r="E70" i="4"/>
  <c r="H67" i="4"/>
  <c r="G67" i="4"/>
  <c r="F67" i="4"/>
  <c r="E67" i="4"/>
  <c r="H65" i="4"/>
  <c r="G65" i="4"/>
  <c r="F65" i="4"/>
  <c r="E65" i="4"/>
  <c r="H49" i="4"/>
  <c r="G49" i="4"/>
  <c r="F49" i="4"/>
  <c r="E49" i="4"/>
  <c r="H45" i="4"/>
  <c r="G45" i="4"/>
  <c r="F45" i="4"/>
  <c r="E45" i="4"/>
  <c r="F37" i="4"/>
  <c r="E37" i="4"/>
  <c r="H30" i="4"/>
  <c r="G30" i="4"/>
  <c r="F30" i="4"/>
  <c r="E30" i="4"/>
  <c r="F15" i="4"/>
  <c r="E15" i="4"/>
  <c r="H10" i="4"/>
  <c r="H121" i="4" s="1"/>
  <c r="G10" i="4"/>
  <c r="F10" i="4"/>
  <c r="F121" i="4" s="1"/>
  <c r="E10" i="4"/>
  <c r="E121" i="4" s="1"/>
  <c r="G121" i="4" l="1"/>
  <c r="H148" i="6"/>
  <c r="F148" i="6"/>
  <c r="E148" i="6"/>
  <c r="H137" i="6"/>
  <c r="F137" i="6"/>
  <c r="E137" i="6"/>
  <c r="H118" i="6"/>
  <c r="F118" i="6"/>
  <c r="E118" i="6"/>
  <c r="H114" i="6"/>
  <c r="F114" i="6"/>
  <c r="E114" i="6"/>
  <c r="H111" i="6"/>
  <c r="F111" i="6"/>
  <c r="E111" i="6"/>
  <c r="H101" i="6"/>
  <c r="F101" i="6"/>
  <c r="E101" i="6"/>
  <c r="H94" i="6"/>
  <c r="F94" i="6"/>
  <c r="E94" i="6"/>
  <c r="H89" i="6"/>
  <c r="F89" i="6"/>
  <c r="E89" i="6"/>
  <c r="H75" i="6"/>
  <c r="F75" i="6"/>
  <c r="E75" i="6"/>
  <c r="H71" i="6"/>
  <c r="F71" i="6"/>
  <c r="E71" i="6"/>
  <c r="H43" i="14"/>
  <c r="G43" i="14"/>
  <c r="F43" i="14"/>
  <c r="E43" i="14"/>
  <c r="E51" i="14" s="1"/>
  <c r="H36" i="14"/>
  <c r="G36" i="14"/>
  <c r="F36" i="14"/>
  <c r="F51" i="14" l="1"/>
  <c r="B9" i="26" l="1"/>
  <c r="C9" i="26" s="1"/>
  <c r="D9" i="26" s="1"/>
  <c r="E14" i="21" l="1"/>
  <c r="D14" i="21"/>
</calcChain>
</file>

<file path=xl/sharedStrings.xml><?xml version="1.0" encoding="utf-8"?>
<sst xmlns="http://schemas.openxmlformats.org/spreadsheetml/2006/main" count="2833" uniqueCount="313">
  <si>
    <t>№            п/п</t>
  </si>
  <si>
    <t>Реестровый номер МО</t>
  </si>
  <si>
    <t>Код профиля</t>
  </si>
  <si>
    <t>Объем медицинской помощи</t>
  </si>
  <si>
    <t>Гастроэнтерология</t>
  </si>
  <si>
    <t>Гематология</t>
  </si>
  <si>
    <t>Кардиология</t>
  </si>
  <si>
    <t>Пульмонология</t>
  </si>
  <si>
    <t>Ревматология</t>
  </si>
  <si>
    <t>Аллергология и иммунология</t>
  </si>
  <si>
    <t>Детская кардиология</t>
  </si>
  <si>
    <t>Детская эндокринология</t>
  </si>
  <si>
    <t>Неврология</t>
  </si>
  <si>
    <t>Педиатрия</t>
  </si>
  <si>
    <t>Травматология и ортопедия</t>
  </si>
  <si>
    <t>Общая врачебная практика (семейная медицина)</t>
  </si>
  <si>
    <t>Терапия</t>
  </si>
  <si>
    <t>Хирургия</t>
  </si>
  <si>
    <t>Акушерство и гинекология</t>
  </si>
  <si>
    <t>Оториноларингология</t>
  </si>
  <si>
    <t>ГОБУЗ Солецкая ЦРБ</t>
  </si>
  <si>
    <t>Инфекционные болезни</t>
  </si>
  <si>
    <t>ГОБУЗ Шимская ЦРБ</t>
  </si>
  <si>
    <t>ГОБУЗ "ОКОД"</t>
  </si>
  <si>
    <t>Онкология</t>
  </si>
  <si>
    <t>Радиотерапия</t>
  </si>
  <si>
    <t>ГОБУЗ "НОИБ"</t>
  </si>
  <si>
    <t>Офтальмология</t>
  </si>
  <si>
    <t>Нейрохирургия</t>
  </si>
  <si>
    <t>ГОБУЗ Старорусская ЦРБ</t>
  </si>
  <si>
    <t>ОАУЗ "КЦМР"</t>
  </si>
  <si>
    <t>ООО "Поликлиника "Полимедика Новгород Великий"</t>
  </si>
  <si>
    <t>Эндокринология</t>
  </si>
  <si>
    <t>Медицинские организации за пределами территории страхования</t>
  </si>
  <si>
    <t>Итого:</t>
  </si>
  <si>
    <t>№ п/п</t>
  </si>
  <si>
    <t>Номер группы ВМП</t>
  </si>
  <si>
    <t>Финансовое обеспечение, руб.</t>
  </si>
  <si>
    <t>Неонатология</t>
  </si>
  <si>
    <t>Сердечно-сосудистая хирургия</t>
  </si>
  <si>
    <t>Торакальная хирургия</t>
  </si>
  <si>
    <t>Урология</t>
  </si>
  <si>
    <t>Челюстно-лицевая хирургия</t>
  </si>
  <si>
    <t>ИТОГО</t>
  </si>
  <si>
    <t>Колопроктология</t>
  </si>
  <si>
    <t>Детская урология-андрология</t>
  </si>
  <si>
    <t>Детская хирургия</t>
  </si>
  <si>
    <t>Гериатрия</t>
  </si>
  <si>
    <t>4</t>
  </si>
  <si>
    <t>11</t>
  </si>
  <si>
    <t>12</t>
  </si>
  <si>
    <t>16</t>
  </si>
  <si>
    <t>29</t>
  </si>
  <si>
    <t>30</t>
  </si>
  <si>
    <t>53</t>
  </si>
  <si>
    <t>54</t>
  </si>
  <si>
    <t>56</t>
  </si>
  <si>
    <t>Нефрология</t>
  </si>
  <si>
    <t>65</t>
  </si>
  <si>
    <t>75</t>
  </si>
  <si>
    <t>77</t>
  </si>
  <si>
    <t>97</t>
  </si>
  <si>
    <t>100</t>
  </si>
  <si>
    <t>108</t>
  </si>
  <si>
    <t>112</t>
  </si>
  <si>
    <t>122</t>
  </si>
  <si>
    <t>136</t>
  </si>
  <si>
    <t>162</t>
  </si>
  <si>
    <t>18</t>
  </si>
  <si>
    <t>Детская онкология</t>
  </si>
  <si>
    <t>19</t>
  </si>
  <si>
    <t>20</t>
  </si>
  <si>
    <t>21</t>
  </si>
  <si>
    <t>68</t>
  </si>
  <si>
    <t>86</t>
  </si>
  <si>
    <t>Стоматология детская</t>
  </si>
  <si>
    <t>Сурдология-оториноларингология</t>
  </si>
  <si>
    <t xml:space="preserve">Акушерское дело </t>
  </si>
  <si>
    <t>171</t>
  </si>
  <si>
    <t>Стоматология общей практики</t>
  </si>
  <si>
    <t>89</t>
  </si>
  <si>
    <t>Стоматология терапевтическая</t>
  </si>
  <si>
    <t>90</t>
  </si>
  <si>
    <t>Стоматология хирургическая</t>
  </si>
  <si>
    <t>85</t>
  </si>
  <si>
    <t>Стоматология</t>
  </si>
  <si>
    <t>60</t>
  </si>
  <si>
    <t>28</t>
  </si>
  <si>
    <t>42</t>
  </si>
  <si>
    <t xml:space="preserve">Лечебное дело </t>
  </si>
  <si>
    <t>ООО "Диамант"</t>
  </si>
  <si>
    <t>57</t>
  </si>
  <si>
    <t>3</t>
  </si>
  <si>
    <t>Код услуги</t>
  </si>
  <si>
    <t xml:space="preserve">Компьютерная томография, в том числе </t>
  </si>
  <si>
    <t>U012</t>
  </si>
  <si>
    <t xml:space="preserve">Компьютерная томография </t>
  </si>
  <si>
    <t>U052</t>
  </si>
  <si>
    <t>Компьютерная томография с контрастированием</t>
  </si>
  <si>
    <t xml:space="preserve">Магнитно-резонансная томография, в том числе </t>
  </si>
  <si>
    <t>U009</t>
  </si>
  <si>
    <t xml:space="preserve">Магнитно-резонансная томография </t>
  </si>
  <si>
    <t>U053</t>
  </si>
  <si>
    <t>Магнитно-резонансная томография с контрастированием</t>
  </si>
  <si>
    <t>Ультразвуковое исследование сердечно-сосудистой системы, в том числе</t>
  </si>
  <si>
    <t>U054</t>
  </si>
  <si>
    <t>Эхокардиография</t>
  </si>
  <si>
    <t>U060</t>
  </si>
  <si>
    <t>Дуплексное сканирование сосудов (артерий и вен) нижних конечностей</t>
  </si>
  <si>
    <t>U062</t>
  </si>
  <si>
    <t>Дуплексное сканирование брюшной аорты и ее висцеральных ветвей</t>
  </si>
  <si>
    <t>U063</t>
  </si>
  <si>
    <t>Дуплексное сканирование экстракраниальных отделов брахиоцефальных артерий</t>
  </si>
  <si>
    <t>Эндоскопическое диагностическое исследование, в том числе</t>
  </si>
  <si>
    <t>U065</t>
  </si>
  <si>
    <t xml:space="preserve">Эзофагогастродуоденоскопия </t>
  </si>
  <si>
    <t>U066</t>
  </si>
  <si>
    <t>Колоноскопия</t>
  </si>
  <si>
    <t>U067</t>
  </si>
  <si>
    <t>Бронхоскопия</t>
  </si>
  <si>
    <t>U078</t>
  </si>
  <si>
    <t>3 категория сложности</t>
  </si>
  <si>
    <t>U079</t>
  </si>
  <si>
    <t>4 категория сложности</t>
  </si>
  <si>
    <t>U082</t>
  </si>
  <si>
    <t>Тестирование групп риска на выявление новой коронавирусной инфекции (COVID-19)</t>
  </si>
  <si>
    <t>U059</t>
  </si>
  <si>
    <t>Ультразвуковая допплерография сосудов (артерий и вен) нижних конечностей</t>
  </si>
  <si>
    <t>U064</t>
  </si>
  <si>
    <t>Дуплексное сканирование интракраниальных отделов брахиоцефальных артерий</t>
  </si>
  <si>
    <t>Молекулярно-генетическое исследование, в том числе</t>
  </si>
  <si>
    <t>U071</t>
  </si>
  <si>
    <t>BRAF</t>
  </si>
  <si>
    <t>U074</t>
  </si>
  <si>
    <t>63</t>
  </si>
  <si>
    <t>Наименование медицинской организации</t>
  </si>
  <si>
    <t>Взрослые</t>
  </si>
  <si>
    <t>1</t>
  </si>
  <si>
    <t>2</t>
  </si>
  <si>
    <t>УГЛУБЛЕННАЯ ДИСПАНСЕРИЗАЦИЯ</t>
  </si>
  <si>
    <t>ВЫСОКОТЕХНОЛОГИЧНАЯ МЕДИЦИНСКАЯ ПОМОЩЬ</t>
  </si>
  <si>
    <t>СПЕЦИАЛИЗИРОВАННАЯ МЕДИЦИНСКАЯ ПОМОЩЬ</t>
  </si>
  <si>
    <t>Комплексное посещение врача-гериатра в гериатрическом центре</t>
  </si>
  <si>
    <t xml:space="preserve"> ДИСПАНСЕРИЗАЦИЯ </t>
  </si>
  <si>
    <t>РАСПРЕДЕЛЕНИЕ ОБЪЕМОВ ПРЕДОСТАВЛЕНИЯ МЕДИЦИНСКОЙ ПОМОЩИ В АМБУЛАТОРНЫХ УСЛОВИЯХ НА 2022 ГОД</t>
  </si>
  <si>
    <t>Наименование медицинской организации/ Профиль медицинской помощи</t>
  </si>
  <si>
    <t>РАСПРЕДЕЛЕНИЕ ОБЪЕМОВ И ФИНАНСОВОГО ОБЕСПЕЧЕНИЯ ПРЕДОСТАВЛЕНИЯ МЕДИЦИНСКОЙ ПОМОЩИ В АМБУЛАТОРНЫХ УСЛОВИЯХ НА 2022 ГОД</t>
  </si>
  <si>
    <t>РАСПРЕДЕЛЕНИЕ ОБЪЕМОВ И ФИНАНСОВОГО ОБЕСПЕЧЕНИЯ ПРЕДОСТАВЛЕНИЯ МЕДИЦИНСКОЙ ПОМОЩИ В СТАЦИОНАРНЫХ УСЛОВИЯХ НА 2022 ГОД</t>
  </si>
  <si>
    <t>Наименование медицинской организации/ Наименование профиля группы</t>
  </si>
  <si>
    <t>РАСПРЕДЕЛЕНИЕ ОБЪЕМОВ  И ФИНАНСОВОГО ОБЕСПЕЧЕНИЯ ПРЕДОСТАВЛЕНИЯ МЕДИЦИНСКОЙ ПОМОЩИ В АМБУЛАТОРНЫХ УСЛОВИЯХ НА 2022 ГОД</t>
  </si>
  <si>
    <t>Наименование медицинской организации/  Профиль медицинской помощи</t>
  </si>
  <si>
    <t>Наименование медицинской организации/ Вид исследования/ Подвид исследования</t>
  </si>
  <si>
    <t>Оториноларингология (за исключением кохлеарной имплантации)</t>
  </si>
  <si>
    <t>U090</t>
  </si>
  <si>
    <t>Дерматовенерология (дерматология)</t>
  </si>
  <si>
    <t xml:space="preserve">Ортодонтия </t>
  </si>
  <si>
    <t>ДИСПАНСЕРНОЕ НАБЛЮДЕНИЕ ЗА ЕДИНИЦУ ОБЪЕМА МЕДИЦИНСКОЙ ПОМОЩИ</t>
  </si>
  <si>
    <t>к протоколу заседания рабочей группы</t>
  </si>
  <si>
    <t xml:space="preserve">Приложение № 1                  </t>
  </si>
  <si>
    <t xml:space="preserve">Приложение № 5                  </t>
  </si>
  <si>
    <t>МЕДИЦИНСКАЯ ПОМОЩЬ В УСЛОВИЯХ ДНЕВНОГО СТАЦИОНАРА</t>
  </si>
  <si>
    <t>ОТДЕЛЬНЫЕ ДИАГНОСТИЧЕСКИЕ (ЛАБОРАТОРНЫЕ) ИССЛЕДОВАНИЯ</t>
  </si>
  <si>
    <t xml:space="preserve"> ПОСЕЩЕНИЯ С ИНЫМИ ЦЕЛЯМИ </t>
  </si>
  <si>
    <t>Предложения МО
по перераспределению / увеличению</t>
  </si>
  <si>
    <t>Перераспределение</t>
  </si>
  <si>
    <t xml:space="preserve"> </t>
  </si>
  <si>
    <t>ГОБУЗ «НОКБ»</t>
  </si>
  <si>
    <t>116</t>
  </si>
  <si>
    <t>Акушерство и гинекология (за исключением использования вспомогательных репродуктивных технологий)</t>
  </si>
  <si>
    <t>ГОБУЗ «ОДКБ»</t>
  </si>
  <si>
    <t xml:space="preserve">ГОБУЗ «НОКПЦ имени В.Ю. Мишекурина» </t>
  </si>
  <si>
    <t>АНО «Стоматологическая поликлиника г. Боровичи»</t>
  </si>
  <si>
    <t>МУП «Стоматологическая поликлиника» Старорусского муниципального района</t>
  </si>
  <si>
    <t>ГОБУЗ «ЦГКБ»</t>
  </si>
  <si>
    <t>Х</t>
  </si>
  <si>
    <t>ГОБУЗ «Зарубинская ЦРБ»</t>
  </si>
  <si>
    <t>ГОБУЗ «Крестецкая ЦРБ»</t>
  </si>
  <si>
    <t>ГОБУЗ «Маловишерская ЦРБ»</t>
  </si>
  <si>
    <t>ГОБУЗ «Марёвская ЦРБ»</t>
  </si>
  <si>
    <t>ГОБУЗ «ОЦРБ»</t>
  </si>
  <si>
    <t>ГОБУЗ «Чудовская ЦРБ»</t>
  </si>
  <si>
    <t>АО «Боровичский комбинат огнеупоров»</t>
  </si>
  <si>
    <t>ГОБУЗ «ОКОД»</t>
  </si>
  <si>
    <t>ГОБУЗ «КГВВ»</t>
  </si>
  <si>
    <t>ОАУЗ «НОКВД»</t>
  </si>
  <si>
    <t>ФГБОУ ВО «НовГУ»</t>
  </si>
  <si>
    <t>ФКУЗ «МСЧ МВД России по Новгородской области»</t>
  </si>
  <si>
    <t>ГОБУЗ «Маловишерская стоматологическая поликлиника»</t>
  </si>
  <si>
    <t>ООО «Поликлиника Волна»</t>
  </si>
  <si>
    <t>ООО «Медицинский                                                                                                                  центр «Акрон»</t>
  </si>
  <si>
    <t>ООО «МЦ «Альтернатива»</t>
  </si>
  <si>
    <t xml:space="preserve">АО «123 АРЗ» </t>
  </si>
  <si>
    <t>ФГБУ СЗОНКЦ                                                им. Л.Г. Соколова                                  ФМБА России</t>
  </si>
  <si>
    <t>ГОБУЗ «Новгородская ЦРБ»</t>
  </si>
  <si>
    <t>ОАУЗ «Поддорская ЦРБ»</t>
  </si>
  <si>
    <t>ГОБУЗ «Пестовская ЦРБ»</t>
  </si>
  <si>
    <t>Хирургия комбустиология</t>
  </si>
  <si>
    <t>ГОБУЗ «Демянская ЦРБ»</t>
  </si>
  <si>
    <t>ОАУЗ «Хвойнинская ЦРБ»</t>
  </si>
  <si>
    <t xml:space="preserve">ГОБУЗ «НОИБ» </t>
  </si>
  <si>
    <t>ГОБУЗ «Боровичская ЦРБ»</t>
  </si>
  <si>
    <t>ГОБУЗ «Боровичский ЦОВ(с)П»</t>
  </si>
  <si>
    <t>ООО "ЦИЭР "ЭмбриЛайф"</t>
  </si>
  <si>
    <t>Всего:</t>
  </si>
  <si>
    <t xml:space="preserve">  </t>
  </si>
  <si>
    <t>Тестирование на выявление новой коронавирусной инфекции (COVID-19) и на наличие вирусов респираторных инфекций, включая вирус гриппа, в том числе</t>
  </si>
  <si>
    <t>U091</t>
  </si>
  <si>
    <t>Определение РНК вируса гриппа методом полимеразной цепной реакции</t>
  </si>
  <si>
    <t>BRCA 1,2</t>
  </si>
  <si>
    <t>Патолого-анатомическое исследование биопсийного (операционного) материала, в том числе</t>
  </si>
  <si>
    <t>Объемы медицинской помощи</t>
  </si>
  <si>
    <t xml:space="preserve">в том числе </t>
  </si>
  <si>
    <t>Дети-сироты</t>
  </si>
  <si>
    <t>530002</t>
  </si>
  <si>
    <t xml:space="preserve"> ДИСПАНСЕРИЗАЦИЯ 2 этап</t>
  </si>
  <si>
    <t>МЕДИЦИНСКАЯ РЕАБИЛИТАЦИЯ В СТАЦИОНАРНЫХ УСЛОВИЯХ</t>
  </si>
  <si>
    <t>Медицинская реабилитация</t>
  </si>
  <si>
    <t xml:space="preserve">Приложение № 2                  </t>
  </si>
  <si>
    <t xml:space="preserve">Приложение № 3                  </t>
  </si>
  <si>
    <t>ФГБУ СЗОНКЦ  им. Л.Г. Соколова  ФМБА России</t>
  </si>
  <si>
    <t xml:space="preserve">ОБРАЩЕНИЯ В СВЯЗИ С ЗАБОЛЕВАНИЯМИ </t>
  </si>
  <si>
    <t xml:space="preserve">НЕОТЛОЖНАЯ МЕДИЦИНСКАЯ ПОМОЩЬ </t>
  </si>
  <si>
    <t xml:space="preserve">Приложение № 4                  </t>
  </si>
  <si>
    <t xml:space="preserve">Приложение № 12                   </t>
  </si>
  <si>
    <t>ПРОФИЛАКТИЧЕСКИЕ МЕДИЦИНСКИЕ ОСМОТРЫ</t>
  </si>
  <si>
    <t>Итого</t>
  </si>
  <si>
    <t>в том числе</t>
  </si>
  <si>
    <t>Несовершеннолетние</t>
  </si>
  <si>
    <t xml:space="preserve">Взрослые </t>
  </si>
  <si>
    <t xml:space="preserve">Приложение № 6                  </t>
  </si>
  <si>
    <t xml:space="preserve">Приложение № 7                  </t>
  </si>
  <si>
    <t xml:space="preserve">Приложение № 8                 </t>
  </si>
  <si>
    <t xml:space="preserve">Приложение № 9                  </t>
  </si>
  <si>
    <t xml:space="preserve">Приложение № 10                   </t>
  </si>
  <si>
    <t xml:space="preserve">Приложение № 11                  </t>
  </si>
  <si>
    <t xml:space="preserve">Приложение № 13                   </t>
  </si>
  <si>
    <t xml:space="preserve">Приложение № 14                 </t>
  </si>
  <si>
    <r>
      <t xml:space="preserve">от 22.12.2023 № 12                                 </t>
    </r>
    <r>
      <rPr>
        <sz val="14"/>
        <color theme="0"/>
        <rFont val="Times New Roman"/>
        <family val="1"/>
        <charset val="204"/>
      </rPr>
      <t xml:space="preserve"> </t>
    </r>
  </si>
  <si>
    <r>
      <t xml:space="preserve">от 22.12.2023 № 12                                </t>
    </r>
    <r>
      <rPr>
        <sz val="14"/>
        <color theme="0"/>
        <rFont val="Times New Roman"/>
        <family val="1"/>
        <charset val="204"/>
      </rPr>
      <t xml:space="preserve"> </t>
    </r>
  </si>
  <si>
    <r>
      <t xml:space="preserve">от 22.12.2023 № 12                               </t>
    </r>
    <r>
      <rPr>
        <sz val="14"/>
        <color theme="0"/>
        <rFont val="Times New Roman"/>
        <family val="1"/>
        <charset val="204"/>
      </rPr>
      <t xml:space="preserve"> </t>
    </r>
  </si>
  <si>
    <t>ОАУЗ «КЦМР»</t>
  </si>
  <si>
    <t>ООО «Диамант»</t>
  </si>
  <si>
    <t>ЧУЗ «КБ «РЖД-Медицина»  г. С-Петербург»</t>
  </si>
  <si>
    <t>ООО «Поликлиника «Полимедика Новгород Великий»</t>
  </si>
  <si>
    <t>ФГБУ СЗОНКЦ им. Л.Г. Соколова ФМБА России</t>
  </si>
  <si>
    <r>
      <t xml:space="preserve">         от 22.12.2023 № 12                                 </t>
    </r>
    <r>
      <rPr>
        <sz val="14"/>
        <color theme="0"/>
        <rFont val="Times New Roman"/>
        <family val="1"/>
        <charset val="204"/>
      </rPr>
      <t xml:space="preserve"> </t>
    </r>
  </si>
  <si>
    <r>
      <t xml:space="preserve">              от 22.12.2023 № 12                                 </t>
    </r>
    <r>
      <rPr>
        <sz val="14"/>
        <color theme="0"/>
        <rFont val="Times New Roman"/>
        <family val="1"/>
        <charset val="204"/>
      </rPr>
      <t xml:space="preserve"> </t>
    </r>
  </si>
  <si>
    <r>
      <t xml:space="preserve">              от 22.12.2023 № 12                                 </t>
    </r>
    <r>
      <rPr>
        <sz val="14"/>
        <color theme="0"/>
        <rFont val="Times New Roman"/>
        <family val="1"/>
        <charset val="204"/>
      </rPr>
      <t xml:space="preserve">    </t>
    </r>
  </si>
  <si>
    <r>
      <t xml:space="preserve">                      от 22.12.2023 № 12                                 </t>
    </r>
    <r>
      <rPr>
        <sz val="14"/>
        <color theme="0"/>
        <rFont val="Times New Roman"/>
        <family val="1"/>
        <charset val="204"/>
      </rPr>
      <t xml:space="preserve"> </t>
    </r>
  </si>
  <si>
    <r>
      <t xml:space="preserve">                  от 22.12.2023 № 12                              </t>
    </r>
    <r>
      <rPr>
        <sz val="14"/>
        <color theme="0"/>
        <rFont val="Times New Roman"/>
        <family val="1"/>
        <charset val="204"/>
      </rPr>
      <t xml:space="preserve"> </t>
    </r>
  </si>
  <si>
    <t>МЕДИЦИНСКАЯ РЕАБИЛИТАЦИЯ В УСЛОВИЯХ ДНЕВНОГО СТАЦИОНАРА</t>
  </si>
  <si>
    <r>
      <t xml:space="preserve">                     от 22.12.2023 № 12                                   </t>
    </r>
    <r>
      <rPr>
        <sz val="14"/>
        <color theme="0"/>
        <rFont val="Times New Roman"/>
        <family val="1"/>
        <charset val="204"/>
      </rPr>
      <t xml:space="preserve"> </t>
    </r>
  </si>
  <si>
    <r>
      <t xml:space="preserve">            от 22.12.2023 № 12                                 </t>
    </r>
    <r>
      <rPr>
        <sz val="14"/>
        <color theme="0"/>
        <rFont val="Times New Roman"/>
        <family val="1"/>
        <charset val="204"/>
      </rPr>
      <t xml:space="preserve"> </t>
    </r>
  </si>
  <si>
    <t xml:space="preserve">ГОБУЗ "ОДКБ" </t>
  </si>
  <si>
    <t>ГОБУЗ "ЦГКБ"</t>
  </si>
  <si>
    <t>ГОБУЗ "Демянская ЦРБ"</t>
  </si>
  <si>
    <t>ГОБУЗ "Зарубинская ЦРБ"</t>
  </si>
  <si>
    <t>ГОБУЗ "Крестецкая ЦРБ"</t>
  </si>
  <si>
    <t>ГОБУЗ "Маловишерская ЦРБ"</t>
  </si>
  <si>
    <t>ГОБУЗ "Маревская ЦРБ"</t>
  </si>
  <si>
    <t>ГОБУЗ "Окуловская ЦРБ"</t>
  </si>
  <si>
    <t>ГОБУЗ "Пестовская ЦРБ"</t>
  </si>
  <si>
    <t>ОАУЗ "Хвойнинская ЦРБ"</t>
  </si>
  <si>
    <t>ГОБУЗ "Чудовская ЦРБ"</t>
  </si>
  <si>
    <t>АО "Боровичский комбинат огнеупоров"</t>
  </si>
  <si>
    <t>ФКУЗ "МСЧ МВД России по Новгородской области"</t>
  </si>
  <si>
    <t>ГОБУЗ "Боровичский ЦОВ(с)П"</t>
  </si>
  <si>
    <t>ООО "Медицинский центр "Акрон"</t>
  </si>
  <si>
    <t>ОАО "123 АРЗ"</t>
  </si>
  <si>
    <t>ГОБУЗ "Новгородская ЦРБ"</t>
  </si>
  <si>
    <t>ГОБУЗ "Боровичская ЦРБ"</t>
  </si>
  <si>
    <t>ОАУЗ "Поддорская ЦРБ"</t>
  </si>
  <si>
    <t>ГОБУЗ "ОДКБ"</t>
  </si>
  <si>
    <t>5</t>
  </si>
  <si>
    <t>6</t>
  </si>
  <si>
    <t>7</t>
  </si>
  <si>
    <t>8</t>
  </si>
  <si>
    <t>9</t>
  </si>
  <si>
    <t>10</t>
  </si>
  <si>
    <t>13</t>
  </si>
  <si>
    <t>14</t>
  </si>
  <si>
    <t>15</t>
  </si>
  <si>
    <t>17</t>
  </si>
  <si>
    <t>Акушерство и гинекология (искусственное прерывание беременности)</t>
  </si>
  <si>
    <t>ГОБУЗ "КГВВ"</t>
  </si>
  <si>
    <t>ОАУЗ "НОКВД"</t>
  </si>
  <si>
    <t>Дерматовенерология</t>
  </si>
  <si>
    <t xml:space="preserve">Приложение № 15                </t>
  </si>
  <si>
    <t>ПРОЧИЕ ОТДЕЛЬНЫЕ ДИАГНОСТИЧЕСКИЕ (ЛАБОРАТОРНЫЕ) ИССЛЕДОВАНИЯ</t>
  </si>
  <si>
    <t>Радиоизотопное исследование, в том числе</t>
  </si>
  <si>
    <t>U046</t>
  </si>
  <si>
    <t>Сцинтиграфия</t>
  </si>
  <si>
    <t>U047</t>
  </si>
  <si>
    <t>Однофотонная имисионная компьютерная томография</t>
  </si>
  <si>
    <t>U084</t>
  </si>
  <si>
    <t>Сцинтиграфия легких перфузионная</t>
  </si>
  <si>
    <t>Гемодиализ, в том числе</t>
  </si>
  <si>
    <t>U023</t>
  </si>
  <si>
    <t>Гемодиализ, гемодиализ интермиттирующий низкопоточный</t>
  </si>
  <si>
    <t>ООО "ПМК-МЦ"</t>
  </si>
  <si>
    <t>U024</t>
  </si>
  <si>
    <t>Гемодиализ, гемодиализ интермиттирующий высокопоточный</t>
  </si>
  <si>
    <t>Акушерское дело</t>
  </si>
  <si>
    <t xml:space="preserve">Акушерство и гинекология </t>
  </si>
  <si>
    <t>Наименование медицинской организации/  Вид комплексного посещения</t>
  </si>
  <si>
    <t>U093</t>
  </si>
  <si>
    <t>Взрослые с сахарным диабетом 1 типа</t>
  </si>
  <si>
    <t>U094</t>
  </si>
  <si>
    <t>Взрослые с сахарным диабетом 2 типа</t>
  </si>
  <si>
    <t>Инфекционные болезнёёи</t>
  </si>
  <si>
    <t xml:space="preserve">Приложение № 16                </t>
  </si>
  <si>
    <r>
      <t xml:space="preserve">            от 22.12.2023 № 12                              </t>
    </r>
    <r>
      <rPr>
        <sz val="14"/>
        <color theme="0"/>
        <rFont val="Times New Roman"/>
        <family val="1"/>
        <charset val="204"/>
      </rPr>
      <t xml:space="preserve"> </t>
    </r>
  </si>
  <si>
    <t>"ШКОЛА ДЛЯ БОЛЬНЫХ САХАРНЫМ ДИАБЕТОМ"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</si>
</sst>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&quot; &quot;#,##0.00&quot;    &quot;;&quot;-&quot;#,##0.00&quot;    &quot;;&quot; -&quot;#&quot;    &quot;;@&quot; &quot;"/>
    <numFmt numFmtId="165" formatCode="&quot; &quot;#,##0&quot;    &quot;;&quot;-&quot;#,##0&quot;    &quot;;&quot; -&quot;#&quot;    &quot;;@&quot; &quot;"/>
    <numFmt numFmtId="166" formatCode="_-* #,##0.00_р_._-;\-* #,##0.00_р_._-;_-* &quot;-&quot;??_р_._-;_-@_-"/>
    <numFmt numFmtId="167" formatCode="\ #,##0.00&quot;    &quot;;\-#,##0.00&quot;    &quot;;&quot; -&quot;#&quot;    &quot;;@\ "/>
    <numFmt numFmtId="168" formatCode="[$-419]General"/>
    <numFmt numFmtId="169" formatCode="#,##0.00&quot; &quot;[$руб.-419];[Red]&quot;-&quot;#,##0.00&quot; &quot;[$руб.-419]"/>
    <numFmt numFmtId="170" formatCode="#,##0.00_ ;\-#,##0.00\ "/>
    <numFmt numFmtId="171" formatCode="#,##0_ ;\-#,##0\ "/>
    <numFmt numFmtId="172" formatCode="#,##0.0,"/>
  </numFmts>
  <fonts count="5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sz val="11"/>
      <color rgb="FFFFFFFF"/>
      <name val="Calibri"/>
      <family val="2"/>
      <charset val="204"/>
    </font>
    <font>
      <sz val="11"/>
      <color rgb="FF9C0006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1"/>
      <color rgb="FFFFFFFF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006100"/>
      <name val="Calibri"/>
      <family val="2"/>
      <charset val="204"/>
    </font>
    <font>
      <b/>
      <sz val="15"/>
      <color rgb="FF1F497D"/>
      <name val="Calibri"/>
      <family val="2"/>
      <charset val="204"/>
    </font>
    <font>
      <b/>
      <sz val="13"/>
      <color rgb="FF1F497D"/>
      <name val="Calibri"/>
      <family val="2"/>
      <charset val="204"/>
    </font>
    <font>
      <b/>
      <sz val="11"/>
      <color rgb="FF1F497D"/>
      <name val="Calibri"/>
      <family val="2"/>
      <charset val="204"/>
    </font>
    <font>
      <sz val="11"/>
      <color rgb="FF3F3F76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9C6500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8"/>
      <color rgb="FF1F497D"/>
      <name val="Cambria"/>
      <family val="1"/>
      <charset val="204"/>
    </font>
    <font>
      <sz val="11"/>
      <color rgb="FFFF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4"/>
      <color rgb="FFFF0000"/>
      <name val="Times New Roman"/>
      <family val="1"/>
      <charset val="204"/>
    </font>
    <font>
      <sz val="14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1"/>
      <charset val="204"/>
    </font>
    <font>
      <sz val="11"/>
      <color theme="1"/>
      <name val="Calibri"/>
      <family val="2"/>
      <scheme val="minor"/>
    </font>
    <font>
      <sz val="14"/>
      <color theme="0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sz val="14"/>
      <color theme="9" tint="0.59999389629810485"/>
      <name val="Times New Roman"/>
      <family val="1"/>
      <charset val="204"/>
    </font>
    <font>
      <sz val="11"/>
      <name val="Calibri"/>
      <family val="2"/>
      <scheme val="minor"/>
    </font>
    <font>
      <b/>
      <sz val="14"/>
      <color theme="9" tint="0.59999389629810485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CD5B5"/>
        <bgColor rgb="FFFCD5B5"/>
      </patternFill>
    </fill>
    <fill>
      <patternFill patternType="solid">
        <fgColor rgb="FFDCE6F2"/>
        <bgColor rgb="FFDCE6F2"/>
      </patternFill>
    </fill>
    <fill>
      <patternFill patternType="solid">
        <fgColor rgb="FFF2DCDB"/>
        <bgColor rgb="FFF2DCDB"/>
      </patternFill>
    </fill>
    <fill>
      <patternFill patternType="solid">
        <fgColor rgb="FFEBF1DE"/>
        <bgColor rgb="FFEBF1DE"/>
      </patternFill>
    </fill>
    <fill>
      <patternFill patternType="solid">
        <fgColor rgb="FFE6E0EC"/>
        <bgColor rgb="FFE6E0EC"/>
      </patternFill>
    </fill>
    <fill>
      <patternFill patternType="solid">
        <fgColor rgb="FFDBEEF4"/>
        <bgColor rgb="FFDBEEF4"/>
      </patternFill>
    </fill>
    <fill>
      <patternFill patternType="solid">
        <fgColor rgb="FFFDEADA"/>
        <bgColor rgb="FFFDEADA"/>
      </patternFill>
    </fill>
    <fill>
      <patternFill patternType="solid">
        <fgColor rgb="FFB9CDE5"/>
        <bgColor rgb="FFB9CDE5"/>
      </patternFill>
    </fill>
    <fill>
      <patternFill patternType="solid">
        <fgColor rgb="FFE6B9B8"/>
        <bgColor rgb="FFE6B9B8"/>
      </patternFill>
    </fill>
    <fill>
      <patternFill patternType="solid">
        <fgColor rgb="FFD7E4BD"/>
        <bgColor rgb="FFD7E4BD"/>
      </patternFill>
    </fill>
    <fill>
      <patternFill patternType="solid">
        <fgColor rgb="FFCCC1DA"/>
        <bgColor rgb="FFCCC1DA"/>
      </patternFill>
    </fill>
    <fill>
      <patternFill patternType="solid">
        <fgColor rgb="FFB7DEE8"/>
        <bgColor rgb="FFB7DEE8"/>
      </patternFill>
    </fill>
    <fill>
      <patternFill patternType="solid">
        <fgColor rgb="FF95B3D7"/>
        <bgColor rgb="FF95B3D7"/>
      </patternFill>
    </fill>
    <fill>
      <patternFill patternType="solid">
        <fgColor rgb="FFD99694"/>
        <bgColor rgb="FFD99694"/>
      </patternFill>
    </fill>
    <fill>
      <patternFill patternType="solid">
        <fgColor rgb="FFC3D69B"/>
        <bgColor rgb="FFC3D69B"/>
      </patternFill>
    </fill>
    <fill>
      <patternFill patternType="solid">
        <fgColor rgb="FFB3A2C7"/>
        <bgColor rgb="FFB3A2C7"/>
      </patternFill>
    </fill>
    <fill>
      <patternFill patternType="solid">
        <fgColor rgb="FF93CDDD"/>
        <bgColor rgb="FF93CDDD"/>
      </patternFill>
    </fill>
    <fill>
      <patternFill patternType="solid">
        <fgColor rgb="FFFAC090"/>
        <bgColor rgb="FFFAC090"/>
      </patternFill>
    </fill>
    <fill>
      <patternFill patternType="solid">
        <fgColor rgb="FF4F81BD"/>
        <bgColor rgb="FF4F81BD"/>
      </patternFill>
    </fill>
    <fill>
      <patternFill patternType="solid">
        <fgColor rgb="FFC0504D"/>
        <bgColor rgb="FFC0504D"/>
      </patternFill>
    </fill>
    <fill>
      <patternFill patternType="solid">
        <fgColor rgb="FF9BBB59"/>
        <bgColor rgb="FF9BBB59"/>
      </patternFill>
    </fill>
    <fill>
      <patternFill patternType="solid">
        <fgColor rgb="FF8064A2"/>
        <bgColor rgb="FF8064A2"/>
      </patternFill>
    </fill>
    <fill>
      <patternFill patternType="solid">
        <fgColor rgb="FF4BACC6"/>
        <bgColor rgb="FF4BACC6"/>
      </patternFill>
    </fill>
    <fill>
      <patternFill patternType="solid">
        <fgColor rgb="FFF79646"/>
        <bgColor rgb="FFF79646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26"/>
      </patternFill>
    </fill>
  </fills>
  <borders count="2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4F81BD"/>
      </bottom>
      <diagonal/>
    </border>
    <border>
      <left/>
      <right/>
      <top/>
      <bottom style="thin">
        <color rgb="FFA7C0DE"/>
      </bottom>
      <diagonal/>
    </border>
    <border>
      <left/>
      <right/>
      <top/>
      <bottom style="thin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7">
    <xf numFmtId="0" fontId="0" fillId="0" borderId="0"/>
    <xf numFmtId="0" fontId="10" fillId="0" borderId="0"/>
    <xf numFmtId="164" fontId="14" fillId="0" borderId="0"/>
    <xf numFmtId="43" fontId="10" fillId="0" borderId="0" applyFont="0" applyFill="0" applyBorder="0" applyAlignment="0" applyProtection="0"/>
    <xf numFmtId="0" fontId="17" fillId="0" borderId="0"/>
    <xf numFmtId="0" fontId="21" fillId="0" borderId="0"/>
    <xf numFmtId="0" fontId="22" fillId="0" borderId="0"/>
    <xf numFmtId="0" fontId="23" fillId="0" borderId="0"/>
    <xf numFmtId="0" fontId="24" fillId="0" borderId="0"/>
    <xf numFmtId="164" fontId="24" fillId="0" borderId="0"/>
    <xf numFmtId="166" fontId="24" fillId="0" borderId="0" applyFont="0" applyFill="0" applyBorder="0" applyAlignment="0" applyProtection="0"/>
    <xf numFmtId="0" fontId="10" fillId="0" borderId="0"/>
    <xf numFmtId="164" fontId="26" fillId="0" borderId="0"/>
    <xf numFmtId="167" fontId="21" fillId="0" borderId="0"/>
    <xf numFmtId="0" fontId="14" fillId="5" borderId="0"/>
    <xf numFmtId="0" fontId="14" fillId="6" borderId="0"/>
    <xf numFmtId="0" fontId="14" fillId="7" borderId="0"/>
    <xf numFmtId="0" fontId="14" fillId="8" borderId="0"/>
    <xf numFmtId="0" fontId="14" fillId="9" borderId="0"/>
    <xf numFmtId="0" fontId="14" fillId="10" borderId="0"/>
    <xf numFmtId="0" fontId="14" fillId="11" borderId="0"/>
    <xf numFmtId="0" fontId="14" fillId="12" borderId="0"/>
    <xf numFmtId="0" fontId="14" fillId="13" borderId="0"/>
    <xf numFmtId="0" fontId="14" fillId="14" borderId="0"/>
    <xf numFmtId="0" fontId="14" fillId="15" borderId="0"/>
    <xf numFmtId="0" fontId="14" fillId="4" borderId="0"/>
    <xf numFmtId="0" fontId="27" fillId="16" borderId="0"/>
    <xf numFmtId="0" fontId="27" fillId="17" borderId="0"/>
    <xf numFmtId="0" fontId="27" fillId="18" borderId="0"/>
    <xf numFmtId="0" fontId="27" fillId="19" borderId="0"/>
    <xf numFmtId="0" fontId="27" fillId="20" borderId="0"/>
    <xf numFmtId="0" fontId="27" fillId="21" borderId="0"/>
    <xf numFmtId="0" fontId="27" fillId="22" borderId="0"/>
    <xf numFmtId="0" fontId="27" fillId="23" borderId="0"/>
    <xf numFmtId="0" fontId="27" fillId="24" borderId="0"/>
    <xf numFmtId="0" fontId="27" fillId="25" borderId="0"/>
    <xf numFmtId="0" fontId="27" fillId="26" borderId="0"/>
    <xf numFmtId="0" fontId="27" fillId="27" borderId="0"/>
    <xf numFmtId="0" fontId="28" fillId="28" borderId="0"/>
    <xf numFmtId="0" fontId="29" fillId="29" borderId="1"/>
    <xf numFmtId="0" fontId="30" fillId="30" borderId="4"/>
    <xf numFmtId="0" fontId="31" fillId="0" borderId="0"/>
    <xf numFmtId="0" fontId="32" fillId="31" borderId="0"/>
    <xf numFmtId="0" fontId="33" fillId="0" borderId="13"/>
    <xf numFmtId="0" fontId="34" fillId="0" borderId="14"/>
    <xf numFmtId="0" fontId="35" fillId="0" borderId="15"/>
    <xf numFmtId="0" fontId="35" fillId="0" borderId="0"/>
    <xf numFmtId="0" fontId="36" fillId="32" borderId="1"/>
    <xf numFmtId="0" fontId="37" fillId="0" borderId="3"/>
    <xf numFmtId="0" fontId="38" fillId="33" borderId="0"/>
    <xf numFmtId="168" fontId="14" fillId="0" borderId="0"/>
    <xf numFmtId="168" fontId="26" fillId="0" borderId="0"/>
    <xf numFmtId="0" fontId="24" fillId="34" borderId="5"/>
    <xf numFmtId="0" fontId="39" fillId="29" borderId="2"/>
    <xf numFmtId="0" fontId="40" fillId="0" borderId="0"/>
    <xf numFmtId="0" fontId="25" fillId="0" borderId="16"/>
    <xf numFmtId="0" fontId="41" fillId="0" borderId="0"/>
    <xf numFmtId="0" fontId="42" fillId="0" borderId="0">
      <alignment horizontal="center"/>
    </xf>
    <xf numFmtId="0" fontId="42" fillId="0" borderId="0">
      <alignment horizontal="center" textRotation="90"/>
    </xf>
    <xf numFmtId="0" fontId="43" fillId="0" borderId="0"/>
    <xf numFmtId="169" fontId="43" fillId="0" borderId="0"/>
    <xf numFmtId="168" fontId="14" fillId="0" borderId="0"/>
    <xf numFmtId="0" fontId="10" fillId="0" borderId="0"/>
    <xf numFmtId="166" fontId="10" fillId="0" borderId="0" applyFont="0" applyFill="0" applyBorder="0" applyAlignment="0" applyProtection="0"/>
    <xf numFmtId="0" fontId="23" fillId="0" borderId="0"/>
    <xf numFmtId="0" fontId="9" fillId="0" borderId="0"/>
    <xf numFmtId="168" fontId="47" fillId="0" borderId="0"/>
    <xf numFmtId="0" fontId="8" fillId="0" borderId="0"/>
    <xf numFmtId="43" fontId="48" fillId="0" borderId="0" applyFont="0" applyFill="0" applyBorder="0" applyAlignment="0" applyProtection="0"/>
    <xf numFmtId="0" fontId="7" fillId="0" borderId="0"/>
    <xf numFmtId="0" fontId="6" fillId="0" borderId="0"/>
    <xf numFmtId="166" fontId="6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0" fillId="0" borderId="0"/>
    <xf numFmtId="0" fontId="4" fillId="0" borderId="0"/>
    <xf numFmtId="43" fontId="5" fillId="0" borderId="0" applyFont="0" applyFill="0" applyBorder="0" applyAlignment="0" applyProtection="0"/>
    <xf numFmtId="0" fontId="51" fillId="0" borderId="0"/>
    <xf numFmtId="166" fontId="51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554">
    <xf numFmtId="0" fontId="0" fillId="0" borderId="0" xfId="0"/>
    <xf numFmtId="41" fontId="11" fillId="0" borderId="0" xfId="1" applyNumberFormat="1" applyFont="1" applyFill="1" applyAlignment="1">
      <alignment horizontal="center" vertical="center"/>
    </xf>
    <xf numFmtId="41" fontId="11" fillId="0" borderId="0" xfId="1" applyNumberFormat="1" applyFont="1" applyFill="1" applyAlignment="1">
      <alignment horizontal="center"/>
    </xf>
    <xf numFmtId="41" fontId="11" fillId="0" borderId="0" xfId="1" applyNumberFormat="1" applyFont="1" applyFill="1"/>
    <xf numFmtId="41" fontId="10" fillId="0" borderId="0" xfId="1" applyNumberFormat="1"/>
    <xf numFmtId="41" fontId="12" fillId="0" borderId="0" xfId="1" applyNumberFormat="1" applyFont="1" applyFill="1"/>
    <xf numFmtId="41" fontId="12" fillId="0" borderId="0" xfId="1" applyNumberFormat="1" applyFont="1" applyFill="1" applyAlignment="1">
      <alignment horizontal="center" vertical="center"/>
    </xf>
    <xf numFmtId="41" fontId="16" fillId="0" borderId="10" xfId="1" applyNumberFormat="1" applyFont="1" applyFill="1" applyBorder="1" applyAlignment="1">
      <alignment horizontal="center" vertical="center"/>
    </xf>
    <xf numFmtId="3" fontId="16" fillId="0" borderId="10" xfId="1" applyNumberFormat="1" applyFont="1" applyFill="1" applyBorder="1" applyAlignment="1">
      <alignment horizontal="center" vertical="center"/>
    </xf>
    <xf numFmtId="0" fontId="16" fillId="0" borderId="10" xfId="1" applyNumberFormat="1" applyFont="1" applyFill="1" applyBorder="1" applyAlignment="1">
      <alignment horizontal="center" vertical="center"/>
    </xf>
    <xf numFmtId="3" fontId="11" fillId="0" borderId="10" xfId="1" applyNumberFormat="1" applyFont="1" applyFill="1" applyBorder="1" applyAlignment="1">
      <alignment horizontal="center" vertical="center"/>
    </xf>
    <xf numFmtId="0" fontId="11" fillId="0" borderId="0" xfId="1" applyFont="1"/>
    <xf numFmtId="41" fontId="11" fillId="0" borderId="0" xfId="1" applyNumberFormat="1" applyFont="1" applyAlignment="1">
      <alignment horizontal="center" vertical="center"/>
    </xf>
    <xf numFmtId="41" fontId="10" fillId="0" borderId="0" xfId="1" applyNumberFormat="1" applyAlignment="1">
      <alignment horizontal="center" vertical="center"/>
    </xf>
    <xf numFmtId="3" fontId="11" fillId="0" borderId="0" xfId="1" applyNumberFormat="1" applyFont="1" applyFill="1" applyAlignment="1">
      <alignment horizontal="center" vertical="center"/>
    </xf>
    <xf numFmtId="3" fontId="11" fillId="0" borderId="0" xfId="1" applyNumberFormat="1" applyFont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wrapText="1"/>
    </xf>
    <xf numFmtId="0" fontId="11" fillId="0" borderId="0" xfId="1" applyFont="1" applyFill="1"/>
    <xf numFmtId="0" fontId="11" fillId="0" borderId="0" xfId="1" applyFont="1" applyFill="1" applyAlignment="1"/>
    <xf numFmtId="0" fontId="18" fillId="0" borderId="0" xfId="1" applyFont="1" applyFill="1" applyAlignment="1"/>
    <xf numFmtId="0" fontId="11" fillId="0" borderId="10" xfId="1" applyFont="1" applyFill="1" applyBorder="1" applyAlignment="1">
      <alignment horizontal="center" vertical="center"/>
    </xf>
    <xf numFmtId="0" fontId="11" fillId="0" borderId="10" xfId="1" quotePrefix="1" applyFont="1" applyFill="1" applyBorder="1" applyAlignment="1">
      <alignment horizontal="center" vertical="center" wrapText="1"/>
    </xf>
    <xf numFmtId="0" fontId="11" fillId="2" borderId="10" xfId="1" applyFont="1" applyFill="1" applyBorder="1" applyAlignment="1">
      <alignment horizontal="center" vertical="center"/>
    </xf>
    <xf numFmtId="0" fontId="11" fillId="0" borderId="0" xfId="1" applyFont="1" applyFill="1" applyBorder="1"/>
    <xf numFmtId="0" fontId="13" fillId="0" borderId="0" xfId="1" applyFont="1" applyFill="1" applyBorder="1" applyAlignment="1">
      <alignment vertical="center" wrapText="1"/>
    </xf>
    <xf numFmtId="41" fontId="13" fillId="0" borderId="0" xfId="1" applyNumberFormat="1" applyFont="1" applyFill="1" applyAlignment="1">
      <alignment horizontal="center" vertical="center" wrapText="1"/>
    </xf>
    <xf numFmtId="3" fontId="16" fillId="0" borderId="10" xfId="1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41" fontId="11" fillId="0" borderId="0" xfId="8" applyNumberFormat="1" applyFont="1" applyFill="1" applyAlignment="1">
      <alignment horizontal="center" vertical="center"/>
    </xf>
    <xf numFmtId="41" fontId="11" fillId="0" borderId="0" xfId="8" applyNumberFormat="1" applyFont="1" applyFill="1"/>
    <xf numFmtId="41" fontId="11" fillId="0" borderId="0" xfId="8" applyNumberFormat="1" applyFont="1" applyFill="1" applyAlignment="1">
      <alignment horizontal="right"/>
    </xf>
    <xf numFmtId="41" fontId="24" fillId="0" borderId="0" xfId="8" applyNumberFormat="1"/>
    <xf numFmtId="49" fontId="15" fillId="0" borderId="0" xfId="8" applyNumberFormat="1" applyFont="1" applyFill="1" applyAlignment="1">
      <alignment horizontal="center"/>
    </xf>
    <xf numFmtId="0" fontId="15" fillId="0" borderId="0" xfId="8" applyFont="1" applyFill="1"/>
    <xf numFmtId="0" fontId="11" fillId="0" borderId="0" xfId="8" applyFont="1" applyFill="1"/>
    <xf numFmtId="0" fontId="20" fillId="0" borderId="0" xfId="8" applyFont="1" applyFill="1" applyAlignment="1">
      <alignment horizontal="center" vertical="center"/>
    </xf>
    <xf numFmtId="3" fontId="11" fillId="0" borderId="10" xfId="9" applyNumberFormat="1" applyFont="1" applyFill="1" applyBorder="1" applyAlignment="1" applyProtection="1">
      <alignment horizontal="center" vertical="center"/>
    </xf>
    <xf numFmtId="165" fontId="11" fillId="0" borderId="10" xfId="9" applyNumberFormat="1" applyFont="1" applyFill="1" applyBorder="1" applyAlignment="1" applyProtection="1">
      <alignment horizontal="center" vertical="center"/>
    </xf>
    <xf numFmtId="0" fontId="15" fillId="0" borderId="0" xfId="8" applyFont="1" applyFill="1" applyAlignment="1">
      <alignment wrapText="1"/>
    </xf>
    <xf numFmtId="0" fontId="24" fillId="0" borderId="0" xfId="8"/>
    <xf numFmtId="3" fontId="11" fillId="0" borderId="0" xfId="8" applyNumberFormat="1" applyFont="1" applyAlignment="1">
      <alignment horizontal="center" vertical="center"/>
    </xf>
    <xf numFmtId="0" fontId="15" fillId="0" borderId="0" xfId="8" applyFont="1" applyFill="1" applyAlignment="1">
      <alignment horizontal="center"/>
    </xf>
    <xf numFmtId="0" fontId="24" fillId="0" borderId="0" xfId="8" applyFill="1"/>
    <xf numFmtId="0" fontId="44" fillId="0" borderId="0" xfId="8" applyFont="1" applyFill="1"/>
    <xf numFmtId="0" fontId="14" fillId="0" borderId="0" xfId="8" applyFont="1" applyFill="1"/>
    <xf numFmtId="0" fontId="14" fillId="0" borderId="0" xfId="8" applyFont="1" applyFill="1" applyAlignment="1">
      <alignment horizontal="center"/>
    </xf>
    <xf numFmtId="0" fontId="45" fillId="0" borderId="0" xfId="8" applyFont="1" applyFill="1"/>
    <xf numFmtId="0" fontId="11" fillId="0" borderId="10" xfId="8" applyFont="1" applyFill="1" applyBorder="1" applyAlignment="1">
      <alignment horizontal="center" vertical="center" wrapText="1"/>
    </xf>
    <xf numFmtId="0" fontId="46" fillId="0" borderId="10" xfId="8" applyFont="1" applyFill="1" applyBorder="1" applyAlignment="1">
      <alignment horizontal="center" vertical="center" wrapText="1"/>
    </xf>
    <xf numFmtId="3" fontId="13" fillId="2" borderId="10" xfId="9" applyNumberFormat="1" applyFont="1" applyFill="1" applyBorder="1" applyAlignment="1" applyProtection="1">
      <alignment horizontal="center" vertical="center"/>
    </xf>
    <xf numFmtId="3" fontId="16" fillId="0" borderId="10" xfId="9" applyNumberFormat="1" applyFont="1" applyFill="1" applyBorder="1" applyAlignment="1" applyProtection="1">
      <alignment horizontal="center" vertical="center"/>
    </xf>
    <xf numFmtId="0" fontId="11" fillId="0" borderId="0" xfId="0" applyFont="1"/>
    <xf numFmtId="0" fontId="11" fillId="0" borderId="10" xfId="0" applyFont="1" applyBorder="1" applyAlignment="1">
      <alignment horizontal="center"/>
    </xf>
    <xf numFmtId="164" fontId="11" fillId="0" borderId="10" xfId="9" applyFont="1" applyBorder="1"/>
    <xf numFmtId="49" fontId="16" fillId="0" borderId="10" xfId="0" quotePrefix="1" applyNumberFormat="1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Fill="1" applyAlignment="1">
      <alignment horizontal="center"/>
    </xf>
    <xf numFmtId="3" fontId="11" fillId="0" borderId="10" xfId="9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 wrapText="1"/>
    </xf>
    <xf numFmtId="0" fontId="11" fillId="0" borderId="10" xfId="0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16" fillId="0" borderId="10" xfId="0" quotePrefix="1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 wrapText="1"/>
    </xf>
    <xf numFmtId="0" fontId="20" fillId="0" borderId="0" xfId="8" applyFont="1" applyFill="1" applyBorder="1" applyAlignment="1">
      <alignment horizontal="center" vertical="center" wrapText="1"/>
    </xf>
    <xf numFmtId="41" fontId="13" fillId="0" borderId="0" xfId="1" applyNumberFormat="1" applyFont="1" applyFill="1" applyAlignment="1">
      <alignment horizontal="center" vertical="center" wrapText="1"/>
    </xf>
    <xf numFmtId="0" fontId="11" fillId="0" borderId="0" xfId="8" applyFont="1" applyFill="1" applyAlignment="1">
      <alignment horizontal="center" vertical="center"/>
    </xf>
    <xf numFmtId="41" fontId="13" fillId="0" borderId="0" xfId="1" applyNumberFormat="1" applyFont="1" applyFill="1" applyAlignment="1">
      <alignment horizontal="center" vertical="center" wrapText="1"/>
    </xf>
    <xf numFmtId="0" fontId="19" fillId="0" borderId="0" xfId="1" applyFont="1" applyFill="1" applyAlignment="1">
      <alignment horizontal="center" wrapText="1"/>
    </xf>
    <xf numFmtId="0" fontId="16" fillId="0" borderId="10" xfId="1" applyFont="1" applyFill="1" applyBorder="1" applyAlignment="1">
      <alignment horizontal="center" vertical="center"/>
    </xf>
    <xf numFmtId="0" fontId="16" fillId="0" borderId="0" xfId="72" applyFont="1" applyFill="1"/>
    <xf numFmtId="0" fontId="16" fillId="0" borderId="0" xfId="72" applyFont="1" applyFill="1" applyAlignment="1">
      <alignment horizontal="center" vertical="center"/>
    </xf>
    <xf numFmtId="4" fontId="16" fillId="0" borderId="0" xfId="73" applyNumberFormat="1" applyFont="1" applyFill="1" applyAlignment="1">
      <alignment horizontal="center" vertical="center"/>
    </xf>
    <xf numFmtId="3" fontId="16" fillId="0" borderId="10" xfId="73" applyNumberFormat="1" applyFont="1" applyFill="1" applyBorder="1" applyAlignment="1">
      <alignment horizontal="center" vertical="center"/>
    </xf>
    <xf numFmtId="3" fontId="18" fillId="0" borderId="10" xfId="1" applyNumberFormat="1" applyFont="1" applyFill="1" applyBorder="1" applyAlignment="1">
      <alignment horizontal="center" vertical="center"/>
    </xf>
    <xf numFmtId="0" fontId="11" fillId="0" borderId="17" xfId="8" applyFont="1" applyFill="1" applyBorder="1" applyAlignment="1">
      <alignment horizontal="center" vertical="center"/>
    </xf>
    <xf numFmtId="49" fontId="15" fillId="0" borderId="17" xfId="8" applyNumberFormat="1" applyFont="1" applyFill="1" applyBorder="1" applyAlignment="1">
      <alignment horizontal="center"/>
    </xf>
    <xf numFmtId="0" fontId="15" fillId="0" borderId="17" xfId="8" applyFont="1" applyFill="1" applyBorder="1" applyAlignment="1">
      <alignment wrapText="1"/>
    </xf>
    <xf numFmtId="0" fontId="15" fillId="0" borderId="17" xfId="8" applyFont="1" applyFill="1" applyBorder="1" applyAlignment="1">
      <alignment horizontal="center" vertical="center"/>
    </xf>
    <xf numFmtId="0" fontId="20" fillId="0" borderId="0" xfId="8" applyFont="1" applyFill="1" applyBorder="1" applyAlignment="1">
      <alignment horizontal="center" vertical="center" wrapText="1"/>
    </xf>
    <xf numFmtId="3" fontId="16" fillId="3" borderId="10" xfId="0" applyNumberFormat="1" applyFont="1" applyFill="1" applyBorder="1" applyAlignment="1">
      <alignment horizontal="center" vertical="center"/>
    </xf>
    <xf numFmtId="3" fontId="18" fillId="0" borderId="10" xfId="9" applyNumberFormat="1" applyFont="1" applyFill="1" applyBorder="1" applyAlignment="1">
      <alignment horizontal="center" vertical="center"/>
    </xf>
    <xf numFmtId="3" fontId="0" fillId="0" borderId="0" xfId="0" applyNumberFormat="1"/>
    <xf numFmtId="3" fontId="18" fillId="0" borderId="0" xfId="0" applyNumberFormat="1" applyFont="1" applyAlignment="1">
      <alignment horizontal="center" wrapText="1"/>
    </xf>
    <xf numFmtId="3" fontId="11" fillId="0" borderId="10" xfId="68" applyNumberFormat="1" applyFont="1" applyBorder="1" applyAlignment="1">
      <alignment horizontal="center" vertical="center"/>
    </xf>
    <xf numFmtId="3" fontId="18" fillId="0" borderId="10" xfId="68" applyNumberFormat="1" applyFont="1" applyBorder="1" applyAlignment="1">
      <alignment horizontal="center" vertical="center"/>
    </xf>
    <xf numFmtId="3" fontId="11" fillId="0" borderId="10" xfId="0" applyNumberFormat="1" applyFont="1" applyBorder="1" applyAlignment="1">
      <alignment horizontal="center" vertical="center"/>
    </xf>
    <xf numFmtId="0" fontId="16" fillId="0" borderId="10" xfId="72" applyFont="1" applyFill="1" applyBorder="1" applyAlignment="1">
      <alignment horizontal="center" vertical="center"/>
    </xf>
    <xf numFmtId="0" fontId="19" fillId="0" borderId="0" xfId="1" applyFont="1" applyFill="1" applyAlignment="1">
      <alignment horizontal="center" vertical="center" wrapText="1"/>
    </xf>
    <xf numFmtId="0" fontId="16" fillId="0" borderId="0" xfId="72" applyFont="1" applyFill="1" applyAlignment="1">
      <alignment vertical="center"/>
    </xf>
    <xf numFmtId="0" fontId="19" fillId="35" borderId="10" xfId="72" quotePrefix="1" applyFont="1" applyFill="1" applyBorder="1" applyAlignment="1">
      <alignment horizontal="left" vertical="center" wrapText="1"/>
    </xf>
    <xf numFmtId="0" fontId="19" fillId="35" borderId="10" xfId="4" applyFont="1" applyFill="1" applyBorder="1" applyAlignment="1">
      <alignment horizontal="left" vertical="center" wrapText="1"/>
    </xf>
    <xf numFmtId="0" fontId="16" fillId="0" borderId="10" xfId="72" quotePrefix="1" applyFont="1" applyFill="1" applyBorder="1" applyAlignment="1">
      <alignment horizontal="left" vertical="center" wrapText="1"/>
    </xf>
    <xf numFmtId="0" fontId="12" fillId="0" borderId="10" xfId="72" applyFont="1" applyFill="1" applyBorder="1" applyAlignment="1">
      <alignment horizontal="left" vertical="center" wrapText="1"/>
    </xf>
    <xf numFmtId="0" fontId="16" fillId="0" borderId="10" xfId="72" applyFont="1" applyFill="1" applyBorder="1" applyAlignment="1">
      <alignment horizontal="left" vertical="center" wrapText="1"/>
    </xf>
    <xf numFmtId="0" fontId="19" fillId="35" borderId="10" xfId="72" applyFont="1" applyFill="1" applyBorder="1" applyAlignment="1">
      <alignment horizontal="left" vertical="center" wrapText="1"/>
    </xf>
    <xf numFmtId="0" fontId="11" fillId="0" borderId="10" xfId="72" applyFont="1" applyBorder="1" applyAlignment="1">
      <alignment horizontal="left" vertical="center" wrapText="1"/>
    </xf>
    <xf numFmtId="0" fontId="20" fillId="2" borderId="10" xfId="0" applyFont="1" applyFill="1" applyBorder="1" applyAlignment="1">
      <alignment horizontal="left" vertical="center" wrapText="1"/>
    </xf>
    <xf numFmtId="0" fontId="15" fillId="0" borderId="0" xfId="8" applyFont="1" applyFill="1" applyAlignment="1">
      <alignment horizontal="center" vertical="center"/>
    </xf>
    <xf numFmtId="3" fontId="15" fillId="0" borderId="0" xfId="8" applyNumberFormat="1" applyFont="1" applyFill="1" applyAlignment="1">
      <alignment horizontal="center"/>
    </xf>
    <xf numFmtId="0" fontId="0" fillId="0" borderId="0" xfId="0" applyAlignment="1">
      <alignment horizontal="center" vertical="center"/>
    </xf>
    <xf numFmtId="3" fontId="11" fillId="0" borderId="0" xfId="1" applyNumberFormat="1" applyFont="1" applyFill="1" applyAlignment="1"/>
    <xf numFmtId="3" fontId="11" fillId="0" borderId="0" xfId="1" applyNumberFormat="1" applyFont="1" applyFill="1" applyAlignment="1">
      <alignment vertical="center"/>
    </xf>
    <xf numFmtId="3" fontId="11" fillId="0" borderId="0" xfId="1" applyNumberFormat="1" applyFont="1" applyFill="1" applyAlignment="1">
      <alignment horizontal="left" vertical="center"/>
    </xf>
    <xf numFmtId="3" fontId="16" fillId="3" borderId="8" xfId="0" applyNumberFormat="1" applyFont="1" applyFill="1" applyBorder="1" applyAlignment="1">
      <alignment horizontal="center" vertical="center"/>
    </xf>
    <xf numFmtId="0" fontId="11" fillId="0" borderId="0" xfId="1" quotePrefix="1" applyFont="1" applyFill="1" applyAlignment="1">
      <alignment wrapText="1"/>
    </xf>
    <xf numFmtId="0" fontId="24" fillId="0" borderId="0" xfId="8" quotePrefix="1" applyFill="1"/>
    <xf numFmtId="0" fontId="0" fillId="0" borderId="0" xfId="0" quotePrefix="1"/>
    <xf numFmtId="0" fontId="11" fillId="0" borderId="0" xfId="0" quotePrefix="1" applyFont="1"/>
    <xf numFmtId="1" fontId="49" fillId="0" borderId="6" xfId="0" applyNumberFormat="1" applyFont="1" applyFill="1" applyBorder="1" applyAlignment="1">
      <alignment horizontal="center" vertical="center"/>
    </xf>
    <xf numFmtId="1" fontId="49" fillId="0" borderId="10" xfId="0" applyNumberFormat="1" applyFont="1" applyFill="1" applyBorder="1" applyAlignment="1">
      <alignment horizontal="center" vertical="center"/>
    </xf>
    <xf numFmtId="1" fontId="16" fillId="2" borderId="10" xfId="0" applyNumberFormat="1" applyFont="1" applyFill="1" applyBorder="1" applyAlignment="1">
      <alignment horizontal="center" vertical="center" wrapText="1"/>
    </xf>
    <xf numFmtId="1" fontId="11" fillId="0" borderId="10" xfId="0" applyNumberFormat="1" applyFont="1" applyBorder="1" applyAlignment="1">
      <alignment horizontal="center" vertical="center"/>
    </xf>
    <xf numFmtId="1" fontId="16" fillId="0" borderId="10" xfId="0" applyNumberFormat="1" applyFont="1" applyFill="1" applyBorder="1" applyAlignment="1">
      <alignment horizontal="center" vertical="center"/>
    </xf>
    <xf numFmtId="0" fontId="20" fillId="0" borderId="0" xfId="8" applyFont="1" applyFill="1" applyBorder="1" applyAlignment="1">
      <alignment horizontal="center" vertical="center" wrapText="1"/>
    </xf>
    <xf numFmtId="41" fontId="11" fillId="0" borderId="0" xfId="8" applyNumberFormat="1" applyFont="1" applyFill="1" applyAlignment="1">
      <alignment horizontal="center" vertical="center"/>
    </xf>
    <xf numFmtId="0" fontId="15" fillId="0" borderId="0" xfId="8" applyFont="1" applyFill="1" applyBorder="1" applyAlignment="1">
      <alignment horizontal="center" vertical="center" wrapText="1"/>
    </xf>
    <xf numFmtId="41" fontId="11" fillId="0" borderId="0" xfId="1" applyNumberFormat="1" applyFont="1" applyFill="1" applyAlignment="1"/>
    <xf numFmtId="170" fontId="11" fillId="0" borderId="10" xfId="68" applyNumberFormat="1" applyFont="1" applyBorder="1" applyAlignment="1">
      <alignment horizontal="center" vertical="center"/>
    </xf>
    <xf numFmtId="170" fontId="18" fillId="0" borderId="10" xfId="68" applyNumberFormat="1" applyFont="1" applyBorder="1" applyAlignment="1">
      <alignment horizontal="center" vertical="center"/>
    </xf>
    <xf numFmtId="41" fontId="11" fillId="0" borderId="0" xfId="8" applyNumberFormat="1" applyFont="1" applyFill="1" applyAlignment="1">
      <alignment horizontal="center"/>
    </xf>
    <xf numFmtId="41" fontId="11" fillId="0" borderId="0" xfId="8" applyNumberFormat="1" applyFont="1" applyFill="1" applyAlignment="1">
      <alignment horizontal="center" vertical="center"/>
    </xf>
    <xf numFmtId="41" fontId="11" fillId="0" borderId="0" xfId="8" applyNumberFormat="1" applyFont="1" applyFill="1" applyAlignment="1">
      <alignment horizontal="right" vertical="center"/>
    </xf>
    <xf numFmtId="41" fontId="11" fillId="0" borderId="0" xfId="8" applyNumberFormat="1" applyFont="1" applyFill="1" applyAlignment="1"/>
    <xf numFmtId="3" fontId="13" fillId="2" borderId="10" xfId="9" applyNumberFormat="1" applyFont="1" applyFill="1" applyBorder="1" applyAlignment="1" applyProtection="1">
      <alignment horizontal="left" vertical="center" wrapText="1"/>
    </xf>
    <xf numFmtId="3" fontId="19" fillId="2" borderId="10" xfId="9" applyNumberFormat="1" applyFont="1" applyFill="1" applyBorder="1" applyAlignment="1" applyProtection="1">
      <alignment horizontal="center" vertical="center"/>
    </xf>
    <xf numFmtId="4" fontId="19" fillId="2" borderId="10" xfId="9" applyNumberFormat="1" applyFont="1" applyFill="1" applyBorder="1" applyAlignment="1" applyProtection="1">
      <alignment horizontal="center" vertical="center"/>
    </xf>
    <xf numFmtId="4" fontId="16" fillId="0" borderId="10" xfId="9" applyNumberFormat="1" applyFont="1" applyFill="1" applyBorder="1" applyAlignment="1" applyProtection="1">
      <alignment horizontal="center" vertical="center"/>
    </xf>
    <xf numFmtId="3" fontId="13" fillId="2" borderId="8" xfId="9" applyNumberFormat="1" applyFont="1" applyFill="1" applyBorder="1" applyAlignment="1" applyProtection="1">
      <alignment horizontal="center" vertical="center"/>
    </xf>
    <xf numFmtId="3" fontId="15" fillId="0" borderId="0" xfId="8" applyNumberFormat="1" applyFont="1" applyFill="1" applyAlignment="1">
      <alignment horizontal="center" vertical="center"/>
    </xf>
    <xf numFmtId="165" fontId="15" fillId="0" borderId="6" xfId="9" applyNumberFormat="1" applyFont="1" applyFill="1" applyBorder="1" applyAlignment="1" applyProtection="1">
      <alignment horizontal="center" vertical="center" wrapText="1"/>
    </xf>
    <xf numFmtId="165" fontId="15" fillId="0" borderId="10" xfId="9" applyNumberFormat="1" applyFont="1" applyFill="1" applyBorder="1" applyAlignment="1" applyProtection="1">
      <alignment horizontal="center" vertical="center" wrapText="1"/>
    </xf>
    <xf numFmtId="41" fontId="12" fillId="0" borderId="0" xfId="1" applyNumberFormat="1" applyFont="1" applyFill="1" applyAlignment="1">
      <alignment horizontal="center" vertical="center" wrapText="1"/>
    </xf>
    <xf numFmtId="0" fontId="11" fillId="0" borderId="0" xfId="1" applyFont="1" applyFill="1" applyAlignment="1">
      <alignment horizontal="center" vertical="center"/>
    </xf>
    <xf numFmtId="4" fontId="11" fillId="0" borderId="10" xfId="8" applyNumberFormat="1" applyFont="1" applyBorder="1" applyAlignment="1">
      <alignment horizontal="center" vertical="center" wrapText="1"/>
    </xf>
    <xf numFmtId="3" fontId="11" fillId="0" borderId="10" xfId="8" applyNumberFormat="1" applyFont="1" applyBorder="1" applyAlignment="1">
      <alignment horizontal="center" vertical="center" wrapText="1"/>
    </xf>
    <xf numFmtId="0" fontId="16" fillId="0" borderId="10" xfId="8" applyFont="1" applyFill="1" applyBorder="1" applyAlignment="1">
      <alignment horizontal="center" vertical="center" wrapText="1"/>
    </xf>
    <xf numFmtId="3" fontId="24" fillId="0" borderId="0" xfId="8" applyNumberFormat="1" applyFill="1"/>
    <xf numFmtId="4" fontId="24" fillId="0" borderId="0" xfId="8" applyNumberFormat="1" applyFill="1"/>
    <xf numFmtId="3" fontId="19" fillId="2" borderId="10" xfId="0" applyNumberFormat="1" applyFont="1" applyFill="1" applyBorder="1" applyAlignment="1">
      <alignment horizontal="center" vertical="center"/>
    </xf>
    <xf numFmtId="3" fontId="15" fillId="0" borderId="0" xfId="8" applyNumberFormat="1" applyFont="1" applyFill="1"/>
    <xf numFmtId="4" fontId="15" fillId="0" borderId="0" xfId="8" applyNumberFormat="1" applyFont="1" applyFill="1"/>
    <xf numFmtId="4" fontId="19" fillId="2" borderId="10" xfId="10" applyNumberFormat="1" applyFont="1" applyFill="1" applyBorder="1" applyAlignment="1">
      <alignment horizontal="center" vertical="center"/>
    </xf>
    <xf numFmtId="0" fontId="16" fillId="3" borderId="10" xfId="0" applyNumberFormat="1" applyFont="1" applyFill="1" applyBorder="1" applyAlignment="1">
      <alignment horizontal="center" vertical="center"/>
    </xf>
    <xf numFmtId="3" fontId="16" fillId="2" borderId="10" xfId="9" applyNumberFormat="1" applyFont="1" applyFill="1" applyBorder="1" applyAlignment="1" applyProtection="1">
      <alignment horizontal="center" vertical="center"/>
    </xf>
    <xf numFmtId="1" fontId="49" fillId="0" borderId="0" xfId="0" applyNumberFormat="1" applyFont="1" applyFill="1" applyBorder="1" applyAlignment="1">
      <alignment horizontal="center" vertical="center"/>
    </xf>
    <xf numFmtId="3" fontId="16" fillId="3" borderId="6" xfId="0" applyNumberFormat="1" applyFont="1" applyFill="1" applyBorder="1" applyAlignment="1">
      <alignment horizontal="center" vertical="center"/>
    </xf>
    <xf numFmtId="0" fontId="16" fillId="0" borderId="6" xfId="0" quotePrefix="1" applyFont="1" applyFill="1" applyBorder="1" applyAlignment="1">
      <alignment horizontal="left" vertical="center" wrapText="1"/>
    </xf>
    <xf numFmtId="3" fontId="53" fillId="2" borderId="10" xfId="0" applyNumberFormat="1" applyFont="1" applyFill="1" applyBorder="1" applyAlignment="1">
      <alignment horizontal="center" vertical="center"/>
    </xf>
    <xf numFmtId="4" fontId="10" fillId="0" borderId="0" xfId="1" applyNumberFormat="1"/>
    <xf numFmtId="4" fontId="15" fillId="0" borderId="10" xfId="9" applyNumberFormat="1" applyFont="1" applyFill="1" applyBorder="1" applyAlignment="1" applyProtection="1">
      <alignment horizontal="center" vertical="center" wrapText="1"/>
    </xf>
    <xf numFmtId="0" fontId="15" fillId="0" borderId="0" xfId="8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41" fontId="13" fillId="0" borderId="0" xfId="1" applyNumberFormat="1" applyFont="1" applyFill="1" applyAlignment="1">
      <alignment horizontal="center" vertical="center" wrapText="1"/>
    </xf>
    <xf numFmtId="41" fontId="12" fillId="0" borderId="0" xfId="1" applyNumberFormat="1" applyFont="1" applyFill="1" applyAlignment="1">
      <alignment horizontal="center" vertical="center" wrapText="1"/>
    </xf>
    <xf numFmtId="0" fontId="11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horizontal="center" wrapText="1"/>
    </xf>
    <xf numFmtId="0" fontId="16" fillId="0" borderId="10" xfId="1" applyFont="1" applyFill="1" applyBorder="1" applyAlignment="1">
      <alignment horizontal="center" vertical="center" wrapText="1"/>
    </xf>
    <xf numFmtId="4" fontId="13" fillId="2" borderId="10" xfId="9" applyNumberFormat="1" applyFont="1" applyFill="1" applyBorder="1" applyAlignment="1" applyProtection="1">
      <alignment horizontal="center" vertical="center"/>
    </xf>
    <xf numFmtId="4" fontId="12" fillId="0" borderId="10" xfId="9" applyNumberFormat="1" applyFont="1" applyFill="1" applyBorder="1" applyAlignment="1" applyProtection="1">
      <alignment horizontal="center" vertical="center"/>
    </xf>
    <xf numFmtId="0" fontId="46" fillId="0" borderId="9" xfId="0" applyFont="1" applyFill="1" applyBorder="1" applyAlignment="1">
      <alignment horizontal="center" vertical="center" wrapText="1"/>
    </xf>
    <xf numFmtId="3" fontId="46" fillId="0" borderId="9" xfId="0" applyNumberFormat="1" applyFont="1" applyFill="1" applyBorder="1" applyAlignment="1">
      <alignment horizontal="center" vertical="center" wrapText="1"/>
    </xf>
    <xf numFmtId="3" fontId="16" fillId="3" borderId="20" xfId="0" applyNumberFormat="1" applyFont="1" applyFill="1" applyBorder="1" applyAlignment="1">
      <alignment horizontal="center" vertical="center"/>
    </xf>
    <xf numFmtId="3" fontId="16" fillId="0" borderId="6" xfId="9" applyNumberFormat="1" applyFont="1" applyFill="1" applyBorder="1" applyAlignment="1" applyProtection="1">
      <alignment horizontal="center" vertical="center"/>
    </xf>
    <xf numFmtId="4" fontId="16" fillId="0" borderId="6" xfId="9" applyNumberFormat="1" applyFont="1" applyFill="1" applyBorder="1" applyAlignment="1" applyProtection="1">
      <alignment horizontal="center" vertical="center"/>
    </xf>
    <xf numFmtId="4" fontId="11" fillId="0" borderId="0" xfId="68" applyNumberFormat="1" applyFont="1" applyFill="1" applyAlignment="1">
      <alignment horizontal="right" vertical="center"/>
    </xf>
    <xf numFmtId="4" fontId="11" fillId="0" borderId="0" xfId="68" applyNumberFormat="1" applyFont="1" applyFill="1"/>
    <xf numFmtId="4" fontId="15" fillId="0" borderId="6" xfId="68" applyNumberFormat="1" applyFont="1" applyFill="1" applyBorder="1" applyAlignment="1" applyProtection="1">
      <alignment horizontal="center" vertical="center" wrapText="1"/>
    </xf>
    <xf numFmtId="4" fontId="19" fillId="2" borderId="10" xfId="68" applyNumberFormat="1" applyFont="1" applyFill="1" applyBorder="1" applyAlignment="1" applyProtection="1">
      <alignment horizontal="center" vertical="center"/>
    </xf>
    <xf numFmtId="4" fontId="16" fillId="0" borderId="10" xfId="68" applyNumberFormat="1" applyFont="1" applyFill="1" applyBorder="1" applyAlignment="1" applyProtection="1">
      <alignment horizontal="center" vertical="center"/>
    </xf>
    <xf numFmtId="4" fontId="16" fillId="0" borderId="6" xfId="68" applyNumberFormat="1" applyFont="1" applyFill="1" applyBorder="1" applyAlignment="1" applyProtection="1">
      <alignment horizontal="center" vertical="center"/>
    </xf>
    <xf numFmtId="0" fontId="16" fillId="35" borderId="8" xfId="72" applyFont="1" applyFill="1" applyBorder="1" applyAlignment="1">
      <alignment horizontal="center" vertical="center"/>
    </xf>
    <xf numFmtId="0" fontId="16" fillId="0" borderId="8" xfId="72" applyFont="1" applyFill="1" applyBorder="1" applyAlignment="1">
      <alignment horizontal="center" vertical="center"/>
    </xf>
    <xf numFmtId="0" fontId="18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49" fontId="16" fillId="36" borderId="10" xfId="0" applyNumberFormat="1" applyFont="1" applyFill="1" applyBorder="1" applyAlignment="1">
      <alignment horizontal="left" vertical="center" wrapText="1"/>
    </xf>
    <xf numFmtId="0" fontId="11" fillId="0" borderId="10" xfId="0" applyNumberFormat="1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6" fillId="0" borderId="10" xfId="0" applyNumberFormat="1" applyFont="1" applyFill="1" applyBorder="1" applyAlignment="1">
      <alignment horizontal="center" vertical="center" wrapText="1"/>
    </xf>
    <xf numFmtId="170" fontId="11" fillId="0" borderId="10" xfId="68" applyNumberFormat="1" applyFont="1" applyFill="1" applyBorder="1" applyAlignment="1">
      <alignment horizontal="center" vertical="center" wrapText="1"/>
    </xf>
    <xf numFmtId="170" fontId="11" fillId="0" borderId="10" xfId="76" applyNumberFormat="1" applyFont="1" applyFill="1" applyBorder="1" applyAlignment="1">
      <alignment horizontal="center" vertical="center"/>
    </xf>
    <xf numFmtId="170" fontId="18" fillId="0" borderId="10" xfId="68" applyNumberFormat="1" applyFont="1" applyFill="1" applyBorder="1" applyAlignment="1">
      <alignment horizontal="center" vertical="center"/>
    </xf>
    <xf numFmtId="49" fontId="16" fillId="36" borderId="10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6" fillId="36" borderId="10" xfId="0" applyNumberFormat="1" applyFont="1" applyFill="1" applyBorder="1" applyAlignment="1">
      <alignment horizontal="center" vertical="center" wrapText="1"/>
    </xf>
    <xf numFmtId="3" fontId="19" fillId="2" borderId="10" xfId="12" applyNumberFormat="1" applyFont="1" applyFill="1" applyBorder="1" applyAlignment="1" applyProtection="1">
      <alignment horizontal="center" vertical="center"/>
    </xf>
    <xf numFmtId="4" fontId="19" fillId="2" borderId="10" xfId="12" applyNumberFormat="1" applyFont="1" applyFill="1" applyBorder="1" applyAlignment="1" applyProtection="1">
      <alignment horizontal="center" vertical="center"/>
    </xf>
    <xf numFmtId="1" fontId="19" fillId="0" borderId="0" xfId="0" applyNumberFormat="1" applyFont="1" applyFill="1" applyBorder="1" applyAlignment="1">
      <alignment horizontal="center" vertical="center" wrapText="1"/>
    </xf>
    <xf numFmtId="3" fontId="16" fillId="35" borderId="10" xfId="9" applyNumberFormat="1" applyFont="1" applyFill="1" applyBorder="1" applyAlignment="1" applyProtection="1">
      <alignment horizontal="center" vertical="center"/>
    </xf>
    <xf numFmtId="4" fontId="16" fillId="35" borderId="10" xfId="9" applyNumberFormat="1" applyFont="1" applyFill="1" applyBorder="1" applyAlignment="1" applyProtection="1">
      <alignment horizontal="center" vertical="center"/>
    </xf>
    <xf numFmtId="3" fontId="11" fillId="0" borderId="0" xfId="8" applyNumberFormat="1" applyFont="1" applyFill="1" applyAlignment="1"/>
    <xf numFmtId="3" fontId="11" fillId="0" borderId="0" xfId="8" applyNumberFormat="1" applyFont="1" applyFill="1" applyAlignment="1">
      <alignment horizontal="center" vertical="center"/>
    </xf>
    <xf numFmtId="3" fontId="11" fillId="0" borderId="0" xfId="8" applyNumberFormat="1" applyFont="1" applyFill="1" applyAlignment="1">
      <alignment horizontal="center"/>
    </xf>
    <xf numFmtId="3" fontId="20" fillId="0" borderId="0" xfId="8" applyNumberFormat="1" applyFont="1" applyFill="1" applyBorder="1" applyAlignment="1">
      <alignment horizontal="center" vertical="center" wrapText="1"/>
    </xf>
    <xf numFmtId="3" fontId="15" fillId="0" borderId="0" xfId="8" applyNumberFormat="1" applyFont="1" applyFill="1" applyBorder="1" applyAlignment="1">
      <alignment horizontal="center" vertical="center" wrapText="1"/>
    </xf>
    <xf numFmtId="3" fontId="16" fillId="0" borderId="10" xfId="8" applyNumberFormat="1" applyFont="1" applyFill="1" applyBorder="1" applyAlignment="1">
      <alignment horizontal="center" vertical="center" wrapText="1"/>
    </xf>
    <xf numFmtId="3" fontId="12" fillId="0" borderId="10" xfId="9" applyNumberFormat="1" applyFont="1" applyFill="1" applyBorder="1" applyAlignment="1" applyProtection="1">
      <alignment horizontal="center" vertical="center"/>
    </xf>
    <xf numFmtId="171" fontId="24" fillId="0" borderId="0" xfId="8" applyNumberFormat="1"/>
    <xf numFmtId="171" fontId="20" fillId="0" borderId="0" xfId="8" applyNumberFormat="1" applyFont="1" applyFill="1" applyBorder="1" applyAlignment="1">
      <alignment horizontal="center" vertical="center" wrapText="1"/>
    </xf>
    <xf numFmtId="171" fontId="15" fillId="0" borderId="0" xfId="8" applyNumberFormat="1" applyFont="1" applyFill="1" applyBorder="1" applyAlignment="1">
      <alignment horizontal="center" vertical="center" wrapText="1"/>
    </xf>
    <xf numFmtId="171" fontId="11" fillId="0" borderId="10" xfId="8" applyNumberFormat="1" applyFont="1" applyBorder="1" applyAlignment="1">
      <alignment horizontal="center" vertical="center" wrapText="1"/>
    </xf>
    <xf numFmtId="171" fontId="16" fillId="0" borderId="10" xfId="8" applyNumberFormat="1" applyFont="1" applyFill="1" applyBorder="1" applyAlignment="1">
      <alignment horizontal="center" vertical="center" wrapText="1"/>
    </xf>
    <xf numFmtId="171" fontId="13" fillId="2" borderId="10" xfId="9" applyNumberFormat="1" applyFont="1" applyFill="1" applyBorder="1" applyAlignment="1" applyProtection="1">
      <alignment horizontal="center" vertical="center"/>
    </xf>
    <xf numFmtId="171" fontId="12" fillId="0" borderId="10" xfId="9" applyNumberFormat="1" applyFont="1" applyFill="1" applyBorder="1" applyAlignment="1" applyProtection="1">
      <alignment horizontal="center" vertical="center"/>
    </xf>
    <xf numFmtId="171" fontId="16" fillId="0" borderId="10" xfId="9" applyNumberFormat="1" applyFont="1" applyFill="1" applyBorder="1" applyAlignment="1" applyProtection="1">
      <alignment horizontal="center" vertical="center"/>
    </xf>
    <xf numFmtId="171" fontId="11" fillId="0" borderId="0" xfId="8" applyNumberFormat="1" applyFont="1" applyAlignment="1">
      <alignment horizontal="center" vertical="center"/>
    </xf>
    <xf numFmtId="1" fontId="16" fillId="2" borderId="6" xfId="0" applyNumberFormat="1" applyFont="1" applyFill="1" applyBorder="1" applyAlignment="1">
      <alignment horizontal="center" vertical="center" wrapText="1"/>
    </xf>
    <xf numFmtId="1" fontId="16" fillId="2" borderId="9" xfId="0" applyNumberFormat="1" applyFont="1" applyFill="1" applyBorder="1" applyAlignment="1">
      <alignment horizontal="center" vertical="center" wrapText="1"/>
    </xf>
    <xf numFmtId="1" fontId="49" fillId="0" borderId="11" xfId="0" applyNumberFormat="1" applyFont="1" applyFill="1" applyBorder="1" applyAlignment="1">
      <alignment horizontal="center" vertical="center"/>
    </xf>
    <xf numFmtId="1" fontId="49" fillId="0" borderId="9" xfId="0" applyNumberFormat="1" applyFont="1" applyFill="1" applyBorder="1" applyAlignment="1">
      <alignment horizontal="center" vertical="center"/>
    </xf>
    <xf numFmtId="1" fontId="16" fillId="2" borderId="11" xfId="0" applyNumberFormat="1" applyFont="1" applyFill="1" applyBorder="1" applyAlignment="1">
      <alignment horizontal="center" vertical="center" wrapText="1"/>
    </xf>
    <xf numFmtId="1" fontId="16" fillId="2" borderId="7" xfId="0" applyNumberFormat="1" applyFont="1" applyFill="1" applyBorder="1" applyAlignment="1">
      <alignment horizontal="center" vertical="center" wrapText="1"/>
    </xf>
    <xf numFmtId="0" fontId="16" fillId="0" borderId="0" xfId="72" applyFont="1" applyFill="1" applyAlignment="1">
      <alignment horizontal="center"/>
    </xf>
    <xf numFmtId="4" fontId="11" fillId="0" borderId="0" xfId="8" applyNumberFormat="1" applyFont="1" applyFill="1" applyAlignment="1">
      <alignment horizontal="right" vertical="center"/>
    </xf>
    <xf numFmtId="4" fontId="11" fillId="0" borderId="0" xfId="8" applyNumberFormat="1" applyFont="1" applyFill="1" applyAlignment="1">
      <alignment horizontal="right"/>
    </xf>
    <xf numFmtId="4" fontId="16" fillId="0" borderId="0" xfId="72" applyNumberFormat="1" applyFont="1" applyFill="1"/>
    <xf numFmtId="3" fontId="54" fillId="2" borderId="10" xfId="0" applyNumberFormat="1" applyFont="1" applyFill="1" applyBorder="1" applyAlignment="1">
      <alignment horizontal="center" vertical="center"/>
    </xf>
    <xf numFmtId="41" fontId="3" fillId="0" borderId="0" xfId="1" applyNumberFormat="1" applyFont="1" applyAlignment="1">
      <alignment horizontal="center"/>
    </xf>
    <xf numFmtId="1" fontId="19" fillId="2" borderId="6" xfId="0" applyNumberFormat="1" applyFont="1" applyFill="1" applyBorder="1" applyAlignment="1">
      <alignment horizontal="center" vertical="center" wrapText="1"/>
    </xf>
    <xf numFmtId="0" fontId="24" fillId="0" borderId="0" xfId="8" applyFont="1" applyFill="1"/>
    <xf numFmtId="0" fontId="24" fillId="0" borderId="0" xfId="8" applyFont="1"/>
    <xf numFmtId="3" fontId="24" fillId="0" borderId="0" xfId="8" applyNumberFormat="1"/>
    <xf numFmtId="4" fontId="24" fillId="0" borderId="0" xfId="8" applyNumberFormat="1"/>
    <xf numFmtId="4" fontId="20" fillId="0" borderId="0" xfId="8" applyNumberFormat="1" applyFont="1" applyFill="1" applyBorder="1" applyAlignment="1">
      <alignment horizontal="center" vertical="center" wrapText="1"/>
    </xf>
    <xf numFmtId="4" fontId="15" fillId="0" borderId="6" xfId="9" applyNumberFormat="1" applyFont="1" applyFill="1" applyBorder="1" applyAlignment="1" applyProtection="1">
      <alignment horizontal="center" vertical="center" wrapText="1"/>
    </xf>
    <xf numFmtId="164" fontId="11" fillId="0" borderId="10" xfId="9" applyFont="1" applyBorder="1" applyAlignment="1">
      <alignment wrapText="1"/>
    </xf>
    <xf numFmtId="3" fontId="16" fillId="0" borderId="10" xfId="0" applyNumberFormat="1" applyFont="1" applyFill="1" applyBorder="1" applyAlignment="1">
      <alignment horizontal="center" vertical="center" wrapText="1"/>
    </xf>
    <xf numFmtId="3" fontId="11" fillId="0" borderId="10" xfId="0" applyNumberFormat="1" applyFont="1" applyFill="1" applyBorder="1" applyAlignment="1">
      <alignment horizontal="center" vertical="center" wrapText="1"/>
    </xf>
    <xf numFmtId="3" fontId="11" fillId="0" borderId="10" xfId="9" applyNumberFormat="1" applyFont="1" applyFill="1" applyBorder="1" applyAlignment="1">
      <alignment horizontal="center"/>
    </xf>
    <xf numFmtId="0" fontId="16" fillId="0" borderId="6" xfId="0" applyFont="1" applyFill="1" applyBorder="1" applyAlignment="1">
      <alignment horizontal="center" vertical="center" wrapText="1"/>
    </xf>
    <xf numFmtId="0" fontId="16" fillId="0" borderId="6" xfId="0" quotePrefix="1" applyFont="1" applyFill="1" applyBorder="1" applyAlignment="1">
      <alignment horizontal="center" vertical="center" wrapText="1"/>
    </xf>
    <xf numFmtId="164" fontId="11" fillId="0" borderId="10" xfId="9" applyFont="1" applyBorder="1" applyAlignment="1">
      <alignment vertical="center" wrapText="1"/>
    </xf>
    <xf numFmtId="165" fontId="15" fillId="0" borderId="6" xfId="9" applyNumberFormat="1" applyFont="1" applyFill="1" applyBorder="1" applyAlignment="1" applyProtection="1">
      <alignment horizontal="center" vertical="center" wrapText="1"/>
    </xf>
    <xf numFmtId="165" fontId="15" fillId="0" borderId="10" xfId="9" applyNumberFormat="1" applyFont="1" applyFill="1" applyBorder="1" applyAlignment="1" applyProtection="1">
      <alignment horizontal="center" vertical="center" wrapText="1"/>
    </xf>
    <xf numFmtId="49" fontId="16" fillId="36" borderId="10" xfId="0" applyNumberFormat="1" applyFont="1" applyFill="1" applyBorder="1" applyAlignment="1">
      <alignment horizontal="center" vertical="center" wrapText="1"/>
    </xf>
    <xf numFmtId="3" fontId="15" fillId="0" borderId="6" xfId="9" applyNumberFormat="1" applyFont="1" applyFill="1" applyBorder="1" applyAlignment="1" applyProtection="1">
      <alignment horizontal="center" vertical="center" wrapText="1"/>
    </xf>
    <xf numFmtId="0" fontId="11" fillId="0" borderId="18" xfId="8" applyFont="1" applyFill="1" applyBorder="1" applyAlignment="1">
      <alignment horizontal="center" vertical="center"/>
    </xf>
    <xf numFmtId="0" fontId="11" fillId="0" borderId="6" xfId="8" applyFont="1" applyFill="1" applyBorder="1" applyAlignment="1">
      <alignment horizontal="center" vertical="center"/>
    </xf>
    <xf numFmtId="0" fontId="11" fillId="0" borderId="10" xfId="1" applyFont="1" applyBorder="1" applyAlignment="1">
      <alignment horizontal="center" vertical="center"/>
    </xf>
    <xf numFmtId="0" fontId="16" fillId="0" borderId="20" xfId="72" applyFont="1" applyFill="1" applyBorder="1" applyAlignment="1">
      <alignment horizontal="center" vertical="center"/>
    </xf>
    <xf numFmtId="43" fontId="24" fillId="0" borderId="0" xfId="68" applyFont="1"/>
    <xf numFmtId="43" fontId="24" fillId="0" borderId="0" xfId="68" applyFont="1" applyFill="1"/>
    <xf numFmtId="43" fontId="45" fillId="0" borderId="0" xfId="68" applyFont="1" applyFill="1"/>
    <xf numFmtId="3" fontId="44" fillId="0" borderId="0" xfId="8" applyNumberFormat="1" applyFont="1" applyFill="1"/>
    <xf numFmtId="43" fontId="44" fillId="0" borderId="0" xfId="68" applyFont="1" applyFill="1"/>
    <xf numFmtId="4" fontId="11" fillId="0" borderId="0" xfId="1" applyNumberFormat="1" applyFont="1"/>
    <xf numFmtId="4" fontId="13" fillId="0" borderId="0" xfId="1" applyNumberFormat="1" applyFont="1" applyFill="1" applyBorder="1" applyAlignment="1">
      <alignment vertical="center" wrapText="1"/>
    </xf>
    <xf numFmtId="4" fontId="13" fillId="0" borderId="0" xfId="1" applyNumberFormat="1" applyFont="1" applyFill="1" applyAlignment="1">
      <alignment horizontal="center" vertical="center" wrapText="1"/>
    </xf>
    <xf numFmtId="4" fontId="11" fillId="0" borderId="0" xfId="1" applyNumberFormat="1" applyFont="1" applyAlignment="1">
      <alignment horizontal="center" vertical="center"/>
    </xf>
    <xf numFmtId="43" fontId="11" fillId="0" borderId="0" xfId="1" applyNumberFormat="1" applyFont="1"/>
    <xf numFmtId="4" fontId="11" fillId="0" borderId="0" xfId="1" applyNumberFormat="1" applyFont="1" applyFill="1" applyAlignment="1"/>
    <xf numFmtId="4" fontId="11" fillId="0" borderId="0" xfId="1" applyNumberFormat="1" applyFont="1" applyFill="1"/>
    <xf numFmtId="4" fontId="18" fillId="0" borderId="10" xfId="1" applyNumberFormat="1" applyFont="1" applyFill="1" applyBorder="1" applyAlignment="1">
      <alignment horizontal="center" vertical="center"/>
    </xf>
    <xf numFmtId="4" fontId="11" fillId="0" borderId="0" xfId="1" applyNumberFormat="1" applyFont="1" applyFill="1" applyAlignment="1">
      <alignment horizontal="center" vertical="center"/>
    </xf>
    <xf numFmtId="43" fontId="10" fillId="0" borderId="0" xfId="68" applyFont="1"/>
    <xf numFmtId="4" fontId="11" fillId="0" borderId="10" xfId="8" applyNumberFormat="1" applyFont="1" applyFill="1" applyBorder="1" applyAlignment="1">
      <alignment horizontal="center" vertical="center"/>
    </xf>
    <xf numFmtId="4" fontId="15" fillId="0" borderId="0" xfId="8" applyNumberFormat="1" applyFont="1" applyFill="1" applyAlignment="1">
      <alignment horizontal="center"/>
    </xf>
    <xf numFmtId="4" fontId="15" fillId="0" borderId="0" xfId="68" applyNumberFormat="1" applyFont="1" applyFill="1" applyAlignment="1">
      <alignment horizontal="center"/>
    </xf>
    <xf numFmtId="4" fontId="11" fillId="0" borderId="0" xfId="0" applyNumberFormat="1" applyFont="1" applyFill="1" applyAlignment="1">
      <alignment horizontal="center" vertical="center"/>
    </xf>
    <xf numFmtId="4" fontId="18" fillId="0" borderId="0" xfId="0" applyNumberFormat="1" applyFont="1" applyAlignment="1">
      <alignment horizontal="center" wrapText="1"/>
    </xf>
    <xf numFmtId="4" fontId="18" fillId="0" borderId="0" xfId="0" applyNumberFormat="1" applyFont="1" applyFill="1" applyAlignment="1">
      <alignment horizontal="center"/>
    </xf>
    <xf numFmtId="4" fontId="11" fillId="0" borderId="10" xfId="68" applyNumberFormat="1" applyFont="1" applyFill="1" applyBorder="1" applyAlignment="1">
      <alignment horizontal="center" vertical="center" wrapText="1"/>
    </xf>
    <xf numFmtId="4" fontId="18" fillId="0" borderId="10" xfId="68" applyNumberFormat="1" applyFont="1" applyFill="1" applyBorder="1" applyAlignment="1">
      <alignment horizontal="center" vertical="center"/>
    </xf>
    <xf numFmtId="4" fontId="15" fillId="0" borderId="0" xfId="8" applyNumberFormat="1" applyFont="1" applyFill="1" applyBorder="1"/>
    <xf numFmtId="1" fontId="16" fillId="2" borderId="8" xfId="0" applyNumberFormat="1" applyFont="1" applyFill="1" applyBorder="1" applyAlignment="1">
      <alignment horizontal="center" vertical="center" wrapText="1"/>
    </xf>
    <xf numFmtId="1" fontId="49" fillId="0" borderId="8" xfId="0" applyNumberFormat="1" applyFont="1" applyFill="1" applyBorder="1" applyAlignment="1">
      <alignment horizontal="center" vertical="center"/>
    </xf>
    <xf numFmtId="3" fontId="52" fillId="2" borderId="8" xfId="0" applyNumberFormat="1" applyFont="1" applyFill="1" applyBorder="1" applyAlignment="1">
      <alignment horizontal="center" vertical="center"/>
    </xf>
    <xf numFmtId="0" fontId="11" fillId="0" borderId="11" xfId="8" applyFont="1" applyFill="1" applyBorder="1" applyAlignment="1">
      <alignment horizontal="center" vertical="center"/>
    </xf>
    <xf numFmtId="0" fontId="11" fillId="0" borderId="11" xfId="8" applyFont="1" applyFill="1" applyBorder="1" applyAlignment="1">
      <alignment horizontal="center"/>
    </xf>
    <xf numFmtId="0" fontId="11" fillId="0" borderId="18" xfId="1" applyFont="1" applyBorder="1" applyAlignment="1">
      <alignment horizontal="center" vertical="center"/>
    </xf>
    <xf numFmtId="0" fontId="16" fillId="0" borderId="6" xfId="72" applyFont="1" applyFill="1" applyBorder="1" applyAlignment="1">
      <alignment horizontal="left" vertical="center" wrapText="1"/>
    </xf>
    <xf numFmtId="4" fontId="24" fillId="0" borderId="0" xfId="8" applyNumberFormat="1" applyAlignment="1">
      <alignment vertical="center"/>
    </xf>
    <xf numFmtId="41" fontId="24" fillId="0" borderId="0" xfId="8" applyNumberFormat="1" applyAlignment="1">
      <alignment vertical="center"/>
    </xf>
    <xf numFmtId="4" fontId="12" fillId="0" borderId="0" xfId="1" applyNumberFormat="1" applyFont="1" applyFill="1" applyAlignment="1">
      <alignment horizontal="center" vertical="center"/>
    </xf>
    <xf numFmtId="165" fontId="15" fillId="0" borderId="6" xfId="9" applyNumberFormat="1" applyFont="1" applyFill="1" applyBorder="1" applyAlignment="1" applyProtection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/>
    </xf>
    <xf numFmtId="1" fontId="16" fillId="0" borderId="9" xfId="0" applyNumberFormat="1" applyFont="1" applyFill="1" applyBorder="1" applyAlignment="1">
      <alignment horizontal="center" vertical="center"/>
    </xf>
    <xf numFmtId="165" fontId="15" fillId="0" borderId="10" xfId="9" applyNumberFormat="1" applyFont="1" applyFill="1" applyBorder="1" applyAlignment="1" applyProtection="1">
      <alignment horizontal="center" vertical="center" wrapText="1"/>
    </xf>
    <xf numFmtId="3" fontId="15" fillId="0" borderId="6" xfId="9" applyNumberFormat="1" applyFont="1" applyFill="1" applyBorder="1" applyAlignment="1" applyProtection="1">
      <alignment horizontal="center" vertical="center" wrapText="1"/>
    </xf>
    <xf numFmtId="0" fontId="11" fillId="0" borderId="10" xfId="8" applyFont="1" applyFill="1" applyBorder="1" applyAlignment="1">
      <alignment horizontal="center" vertical="center"/>
    </xf>
    <xf numFmtId="0" fontId="11" fillId="0" borderId="10" xfId="1" applyFont="1" applyBorder="1" applyAlignment="1">
      <alignment horizontal="center" vertical="center"/>
    </xf>
    <xf numFmtId="41" fontId="11" fillId="0" borderId="18" xfId="1" applyNumberFormat="1" applyFont="1" applyBorder="1" applyAlignment="1">
      <alignment horizontal="center" vertical="center"/>
    </xf>
    <xf numFmtId="43" fontId="10" fillId="0" borderId="0" xfId="68" applyFont="1" applyFill="1"/>
    <xf numFmtId="41" fontId="10" fillId="0" borderId="0" xfId="1" applyNumberFormat="1" applyFill="1"/>
    <xf numFmtId="43" fontId="11" fillId="0" borderId="0" xfId="68" applyFont="1" applyFill="1"/>
    <xf numFmtId="0" fontId="11" fillId="2" borderId="7" xfId="8" applyFont="1" applyFill="1" applyBorder="1" applyAlignment="1">
      <alignment horizontal="center" vertical="center"/>
    </xf>
    <xf numFmtId="1" fontId="49" fillId="37" borderId="6" xfId="0" applyNumberFormat="1" applyFont="1" applyFill="1" applyBorder="1" applyAlignment="1">
      <alignment horizontal="center" vertical="center"/>
    </xf>
    <xf numFmtId="1" fontId="49" fillId="37" borderId="11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18" fillId="0" borderId="0" xfId="0" applyFont="1" applyAlignment="1">
      <alignment horizontal="center" wrapText="1"/>
    </xf>
    <xf numFmtId="49" fontId="16" fillId="36" borderId="10" xfId="0" applyNumberFormat="1" applyFont="1" applyFill="1" applyBorder="1" applyAlignment="1">
      <alignment horizontal="center" vertical="center" wrapText="1"/>
    </xf>
    <xf numFmtId="41" fontId="11" fillId="0" borderId="9" xfId="1" applyNumberFormat="1" applyFont="1" applyBorder="1" applyAlignment="1">
      <alignment horizontal="center" vertical="center"/>
    </xf>
    <xf numFmtId="4" fontId="11" fillId="0" borderId="0" xfId="8" applyNumberFormat="1" applyFont="1" applyFill="1"/>
    <xf numFmtId="43" fontId="11" fillId="0" borderId="0" xfId="8" applyNumberFormat="1" applyFont="1" applyFill="1"/>
    <xf numFmtId="165" fontId="15" fillId="0" borderId="6" xfId="9" applyNumberFormat="1" applyFont="1" applyFill="1" applyBorder="1" applyAlignment="1" applyProtection="1">
      <alignment horizontal="center" vertical="center" wrapText="1"/>
    </xf>
    <xf numFmtId="165" fontId="15" fillId="0" borderId="10" xfId="9" applyNumberFormat="1" applyFont="1" applyFill="1" applyBorder="1" applyAlignment="1" applyProtection="1">
      <alignment horizontal="center" vertical="center" wrapText="1"/>
    </xf>
    <xf numFmtId="41" fontId="11" fillId="0" borderId="18" xfId="1" applyNumberFormat="1" applyFont="1" applyBorder="1" applyAlignment="1">
      <alignment horizontal="center" vertical="center"/>
    </xf>
    <xf numFmtId="0" fontId="16" fillId="0" borderId="0" xfId="1" applyFont="1" applyFill="1" applyAlignment="1">
      <alignment horizontal="center" wrapText="1"/>
    </xf>
    <xf numFmtId="0" fontId="16" fillId="36" borderId="9" xfId="0" applyFont="1" applyFill="1" applyBorder="1" applyAlignment="1">
      <alignment horizontal="center" vertical="center" wrapText="1"/>
    </xf>
    <xf numFmtId="0" fontId="16" fillId="36" borderId="9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/>
    </xf>
    <xf numFmtId="0" fontId="11" fillId="0" borderId="10" xfId="0" applyFont="1" applyBorder="1"/>
    <xf numFmtId="0" fontId="11" fillId="0" borderId="10" xfId="0" applyFont="1" applyBorder="1" applyAlignment="1">
      <alignment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left" vertical="center" wrapText="1"/>
    </xf>
    <xf numFmtId="3" fontId="16" fillId="0" borderId="10" xfId="82" applyNumberFormat="1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wrapText="1"/>
    </xf>
    <xf numFmtId="3" fontId="11" fillId="0" borderId="10" xfId="9" applyNumberFormat="1" applyFont="1" applyBorder="1" applyAlignment="1">
      <alignment horizontal="center" vertical="center"/>
    </xf>
    <xf numFmtId="3" fontId="16" fillId="36" borderId="10" xfId="0" applyNumberFormat="1" applyFont="1" applyFill="1" applyBorder="1" applyAlignment="1">
      <alignment horizontal="center" vertical="center" wrapText="1"/>
    </xf>
    <xf numFmtId="4" fontId="11" fillId="0" borderId="10" xfId="76" applyNumberFormat="1" applyFont="1" applyFill="1" applyBorder="1" applyAlignment="1">
      <alignment horizontal="center" vertical="center"/>
    </xf>
    <xf numFmtId="164" fontId="11" fillId="0" borderId="7" xfId="9" applyFont="1" applyBorder="1"/>
    <xf numFmtId="49" fontId="16" fillId="0" borderId="7" xfId="0" quotePrefix="1" applyNumberFormat="1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left" vertical="center" wrapText="1"/>
    </xf>
    <xf numFmtId="4" fontId="11" fillId="0" borderId="10" xfId="0" applyNumberFormat="1" applyFont="1" applyBorder="1" applyAlignment="1">
      <alignment horizontal="center" vertical="center"/>
    </xf>
    <xf numFmtId="0" fontId="11" fillId="0" borderId="10" xfId="1" applyFont="1" applyBorder="1" applyAlignment="1">
      <alignment horizontal="center" vertical="center"/>
    </xf>
    <xf numFmtId="3" fontId="2" fillId="2" borderId="10" xfId="83" applyNumberFormat="1" applyFont="1" applyFill="1" applyBorder="1" applyAlignment="1">
      <alignment horizontal="center" vertical="center"/>
    </xf>
    <xf numFmtId="41" fontId="13" fillId="2" borderId="10" xfId="3" applyNumberFormat="1" applyFont="1" applyFill="1" applyBorder="1" applyAlignment="1" applyProtection="1">
      <alignment horizontal="left" vertical="center" wrapText="1"/>
    </xf>
    <xf numFmtId="3" fontId="12" fillId="0" borderId="10" xfId="83" applyNumberFormat="1" applyFont="1" applyFill="1" applyBorder="1" applyAlignment="1">
      <alignment horizontal="center" vertical="center"/>
    </xf>
    <xf numFmtId="3" fontId="11" fillId="0" borderId="10" xfId="83" applyNumberFormat="1" applyFont="1" applyFill="1" applyBorder="1" applyAlignment="1">
      <alignment horizontal="center" vertical="center"/>
    </xf>
    <xf numFmtId="0" fontId="16" fillId="0" borderId="10" xfId="83" applyFont="1" applyFill="1" applyBorder="1" applyAlignment="1"/>
    <xf numFmtId="0" fontId="11" fillId="0" borderId="10" xfId="83" applyFont="1" applyFill="1" applyBorder="1" applyAlignment="1">
      <alignment horizontal="left"/>
    </xf>
    <xf numFmtId="0" fontId="16" fillId="0" borderId="10" xfId="4" applyFont="1" applyFill="1" applyBorder="1" applyAlignment="1"/>
    <xf numFmtId="1" fontId="11" fillId="2" borderId="10" xfId="83" applyNumberFormat="1" applyFont="1" applyFill="1" applyBorder="1" applyAlignment="1">
      <alignment horizontal="center" vertical="center"/>
    </xf>
    <xf numFmtId="1" fontId="49" fillId="0" borderId="11" xfId="83" applyNumberFormat="1" applyFont="1" applyFill="1" applyBorder="1" applyAlignment="1">
      <alignment horizontal="center" vertical="center"/>
    </xf>
    <xf numFmtId="1" fontId="49" fillId="0" borderId="6" xfId="83" applyNumberFormat="1" applyFont="1" applyFill="1" applyBorder="1" applyAlignment="1">
      <alignment horizontal="center" vertical="center"/>
    </xf>
    <xf numFmtId="1" fontId="49" fillId="0" borderId="10" xfId="83" applyNumberFormat="1" applyFont="1" applyFill="1" applyBorder="1" applyAlignment="1">
      <alignment horizontal="center" vertical="center"/>
    </xf>
    <xf numFmtId="3" fontId="11" fillId="0" borderId="8" xfId="83" applyNumberFormat="1" applyFont="1" applyFill="1" applyBorder="1" applyAlignment="1">
      <alignment horizontal="center" vertical="center"/>
    </xf>
    <xf numFmtId="0" fontId="12" fillId="0" borderId="10" xfId="83" applyFont="1" applyFill="1" applyBorder="1" applyAlignment="1">
      <alignment horizontal="left"/>
    </xf>
    <xf numFmtId="171" fontId="11" fillId="0" borderId="10" xfId="83" applyNumberFormat="1" applyFont="1" applyFill="1" applyBorder="1" applyAlignment="1">
      <alignment horizontal="center" vertical="center"/>
    </xf>
    <xf numFmtId="3" fontId="54" fillId="2" borderId="9" xfId="0" applyNumberFormat="1" applyFont="1" applyFill="1" applyBorder="1" applyAlignment="1">
      <alignment horizontal="center" vertical="center"/>
    </xf>
    <xf numFmtId="1" fontId="16" fillId="2" borderId="11" xfId="84" applyNumberFormat="1" applyFont="1" applyFill="1" applyBorder="1" applyAlignment="1">
      <alignment horizontal="center" vertical="center"/>
    </xf>
    <xf numFmtId="1" fontId="55" fillId="2" borderId="10" xfId="84" applyNumberFormat="1" applyFont="1" applyFill="1" applyBorder="1" applyAlignment="1">
      <alignment horizontal="center" vertical="center"/>
    </xf>
    <xf numFmtId="172" fontId="13" fillId="2" borderId="10" xfId="63" applyNumberFormat="1" applyFont="1" applyFill="1" applyBorder="1" applyAlignment="1" applyProtection="1">
      <alignment horizontal="left" vertical="center" wrapText="1"/>
    </xf>
    <xf numFmtId="1" fontId="49" fillId="0" borderId="6" xfId="84" applyNumberFormat="1" applyFont="1" applyFill="1" applyBorder="1" applyAlignment="1">
      <alignment horizontal="center" vertical="center"/>
    </xf>
    <xf numFmtId="0" fontId="16" fillId="0" borderId="8" xfId="84" applyFont="1" applyFill="1" applyBorder="1" applyAlignment="1">
      <alignment horizontal="center"/>
    </xf>
    <xf numFmtId="0" fontId="19" fillId="38" borderId="10" xfId="84" quotePrefix="1" applyFont="1" applyFill="1" applyBorder="1" applyAlignment="1">
      <alignment horizontal="left" vertical="center" wrapText="1"/>
    </xf>
    <xf numFmtId="1" fontId="49" fillId="0" borderId="11" xfId="84" applyNumberFormat="1" applyFont="1" applyFill="1" applyBorder="1" applyAlignment="1">
      <alignment horizontal="center" vertical="center"/>
    </xf>
    <xf numFmtId="0" fontId="16" fillId="0" borderId="10" xfId="84" quotePrefix="1" applyFont="1" applyFill="1" applyBorder="1" applyAlignment="1">
      <alignment horizontal="left" vertical="center" wrapText="1"/>
    </xf>
    <xf numFmtId="0" fontId="16" fillId="0" borderId="8" xfId="84" applyFont="1" applyFill="1" applyBorder="1" applyAlignment="1">
      <alignment horizontal="center" vertical="center"/>
    </xf>
    <xf numFmtId="3" fontId="19" fillId="2" borderId="10" xfId="63" applyNumberFormat="1" applyFont="1" applyFill="1" applyBorder="1" applyAlignment="1">
      <alignment horizontal="center" vertical="center"/>
    </xf>
    <xf numFmtId="4" fontId="19" fillId="2" borderId="10" xfId="63" applyNumberFormat="1" applyFont="1" applyFill="1" applyBorder="1" applyAlignment="1">
      <alignment horizontal="center" vertical="center"/>
    </xf>
    <xf numFmtId="3" fontId="19" fillId="38" borderId="10" xfId="63" applyNumberFormat="1" applyFont="1" applyFill="1" applyBorder="1" applyAlignment="1">
      <alignment horizontal="center" vertical="center"/>
    </xf>
    <xf numFmtId="4" fontId="19" fillId="38" borderId="10" xfId="63" applyNumberFormat="1" applyFont="1" applyFill="1" applyBorder="1" applyAlignment="1">
      <alignment horizontal="center" vertical="center"/>
    </xf>
    <xf numFmtId="3" fontId="16" fillId="0" borderId="10" xfId="63" applyNumberFormat="1" applyFont="1" applyFill="1" applyBorder="1" applyAlignment="1">
      <alignment horizontal="center" vertical="center"/>
    </xf>
    <xf numFmtId="4" fontId="16" fillId="0" borderId="10" xfId="63" applyNumberFormat="1" applyFont="1" applyFill="1" applyBorder="1" applyAlignment="1">
      <alignment horizontal="center" vertical="center"/>
    </xf>
    <xf numFmtId="1" fontId="16" fillId="2" borderId="10" xfId="84" applyNumberFormat="1" applyFont="1" applyFill="1" applyBorder="1" applyAlignment="1">
      <alignment horizontal="center" vertical="center"/>
    </xf>
    <xf numFmtId="0" fontId="16" fillId="0" borderId="10" xfId="84" applyFont="1" applyFill="1" applyBorder="1"/>
    <xf numFmtId="0" fontId="19" fillId="38" borderId="10" xfId="84" applyFont="1" applyFill="1" applyBorder="1" applyAlignment="1">
      <alignment horizontal="left" vertical="center" wrapText="1"/>
    </xf>
    <xf numFmtId="0" fontId="16" fillId="0" borderId="10" xfId="84" applyFont="1" applyFill="1" applyBorder="1" applyAlignment="1">
      <alignment horizontal="center" vertical="center"/>
    </xf>
    <xf numFmtId="0" fontId="12" fillId="0" borderId="10" xfId="84" applyFont="1" applyFill="1" applyBorder="1" applyAlignment="1">
      <alignment horizontal="left" vertical="center" wrapText="1"/>
    </xf>
    <xf numFmtId="0" fontId="11" fillId="0" borderId="10" xfId="84" applyFont="1" applyFill="1" applyBorder="1" applyAlignment="1">
      <alignment horizontal="left" vertical="center" wrapText="1"/>
    </xf>
    <xf numFmtId="0" fontId="16" fillId="2" borderId="10" xfId="72" applyFont="1" applyFill="1" applyBorder="1" applyAlignment="1">
      <alignment horizontal="center" vertical="center"/>
    </xf>
    <xf numFmtId="0" fontId="12" fillId="2" borderId="10" xfId="83" applyFont="1" applyFill="1" applyBorder="1" applyAlignment="1">
      <alignment horizontal="center" vertical="center"/>
    </xf>
    <xf numFmtId="172" fontId="13" fillId="2" borderId="10" xfId="3" applyNumberFormat="1" applyFont="1" applyFill="1" applyBorder="1" applyAlignment="1" applyProtection="1">
      <alignment horizontal="left" vertical="center" wrapText="1"/>
    </xf>
    <xf numFmtId="0" fontId="16" fillId="0" borderId="10" xfId="0" applyFont="1" applyFill="1" applyBorder="1" applyAlignment="1">
      <alignment vertical="center" wrapText="1"/>
    </xf>
    <xf numFmtId="0" fontId="18" fillId="2" borderId="10" xfId="83" applyFont="1" applyFill="1" applyBorder="1" applyAlignment="1">
      <alignment horizontal="left" vertical="center" wrapText="1"/>
    </xf>
    <xf numFmtId="4" fontId="11" fillId="0" borderId="10" xfId="83" applyNumberFormat="1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/>
    </xf>
    <xf numFmtId="1" fontId="12" fillId="2" borderId="6" xfId="83" applyNumberFormat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center" vertical="center"/>
    </xf>
    <xf numFmtId="0" fontId="18" fillId="2" borderId="10" xfId="83" applyFont="1" applyFill="1" applyBorder="1" applyAlignment="1">
      <alignment vertical="center" wrapText="1"/>
    </xf>
    <xf numFmtId="0" fontId="12" fillId="0" borderId="10" xfId="83" applyFont="1" applyFill="1" applyBorder="1" applyAlignment="1">
      <alignment horizontal="center"/>
    </xf>
    <xf numFmtId="0" fontId="16" fillId="0" borderId="10" xfId="7" applyFont="1" applyFill="1" applyBorder="1" applyAlignment="1">
      <alignment horizontal="left" vertical="center" wrapText="1"/>
    </xf>
    <xf numFmtId="3" fontId="11" fillId="0" borderId="0" xfId="1" applyNumberFormat="1" applyFont="1" applyFill="1"/>
    <xf numFmtId="0" fontId="11" fillId="2" borderId="10" xfId="83" applyFont="1" applyFill="1" applyBorder="1"/>
    <xf numFmtId="0" fontId="11" fillId="0" borderId="10" xfId="83" applyFont="1" applyFill="1" applyBorder="1" applyAlignment="1">
      <alignment horizontal="center"/>
    </xf>
    <xf numFmtId="172" fontId="12" fillId="0" borderId="10" xfId="3" applyNumberFormat="1" applyFont="1" applyFill="1" applyBorder="1" applyAlignment="1" applyProtection="1">
      <alignment horizontal="left" vertical="center" wrapText="1"/>
    </xf>
    <xf numFmtId="1" fontId="49" fillId="0" borderId="9" xfId="83" applyNumberFormat="1" applyFont="1" applyFill="1" applyBorder="1" applyAlignment="1">
      <alignment horizontal="center" vertical="center"/>
    </xf>
    <xf numFmtId="3" fontId="11" fillId="0" borderId="10" xfId="83" applyNumberFormat="1" applyFont="1" applyBorder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1" fontId="11" fillId="2" borderId="6" xfId="83" applyNumberFormat="1" applyFont="1" applyFill="1" applyBorder="1" applyAlignment="1">
      <alignment horizontal="center" vertical="center"/>
    </xf>
    <xf numFmtId="1" fontId="49" fillId="0" borderId="6" xfId="83" applyNumberFormat="1" applyFont="1" applyBorder="1" applyAlignment="1">
      <alignment horizontal="center" vertical="center"/>
    </xf>
    <xf numFmtId="0" fontId="12" fillId="0" borderId="10" xfId="83" applyFont="1" applyFill="1" applyBorder="1" applyAlignment="1">
      <alignment horizontal="center" vertical="center"/>
    </xf>
    <xf numFmtId="3" fontId="18" fillId="2" borderId="10" xfId="83" applyNumberFormat="1" applyFont="1" applyFill="1" applyBorder="1" applyAlignment="1">
      <alignment horizontal="center" vertical="center"/>
    </xf>
    <xf numFmtId="4" fontId="18" fillId="2" borderId="10" xfId="83" applyNumberFormat="1" applyFont="1" applyFill="1" applyBorder="1" applyAlignment="1">
      <alignment horizontal="center" vertical="center"/>
    </xf>
    <xf numFmtId="1" fontId="49" fillId="0" borderId="10" xfId="83" applyNumberFormat="1" applyFont="1" applyBorder="1" applyAlignment="1">
      <alignment horizontal="center" vertical="center"/>
    </xf>
    <xf numFmtId="3" fontId="11" fillId="0" borderId="0" xfId="1" applyNumberFormat="1" applyFont="1"/>
    <xf numFmtId="0" fontId="11" fillId="0" borderId="10" xfId="8" applyFont="1" applyFill="1" applyBorder="1" applyAlignment="1">
      <alignment horizontal="center" vertical="center"/>
    </xf>
    <xf numFmtId="0" fontId="16" fillId="3" borderId="8" xfId="0" applyNumberFormat="1" applyFont="1" applyFill="1" applyBorder="1" applyAlignment="1">
      <alignment horizontal="center" vertical="center"/>
    </xf>
    <xf numFmtId="165" fontId="15" fillId="0" borderId="6" xfId="9" applyNumberFormat="1" applyFont="1" applyFill="1" applyBorder="1" applyAlignment="1" applyProtection="1">
      <alignment horizontal="center" vertical="center" wrapText="1"/>
    </xf>
    <xf numFmtId="165" fontId="15" fillId="0" borderId="10" xfId="9" applyNumberFormat="1" applyFont="1" applyFill="1" applyBorder="1" applyAlignment="1" applyProtection="1">
      <alignment horizontal="center" vertical="center" wrapText="1"/>
    </xf>
    <xf numFmtId="3" fontId="11" fillId="0" borderId="0" xfId="8" applyNumberFormat="1" applyFont="1" applyFill="1"/>
    <xf numFmtId="0" fontId="11" fillId="0" borderId="0" xfId="8" applyFont="1" applyFill="1" applyAlignment="1">
      <alignment horizontal="left" vertical="center"/>
    </xf>
    <xf numFmtId="0" fontId="11" fillId="0" borderId="0" xfId="8" applyFont="1" applyFill="1" applyAlignment="1">
      <alignment horizontal="center"/>
    </xf>
    <xf numFmtId="0" fontId="11" fillId="0" borderId="10" xfId="8" applyFont="1" applyFill="1" applyBorder="1" applyAlignment="1">
      <alignment horizontal="left" vertical="center"/>
    </xf>
    <xf numFmtId="1" fontId="49" fillId="0" borderId="6" xfId="8" applyNumberFormat="1" applyFont="1" applyFill="1" applyBorder="1" applyAlignment="1">
      <alignment horizontal="center" vertical="center"/>
    </xf>
    <xf numFmtId="3" fontId="16" fillId="37" borderId="10" xfId="8" applyNumberFormat="1" applyFont="1" applyFill="1" applyBorder="1" applyAlignment="1">
      <alignment horizontal="center" vertical="center" wrapText="1"/>
    </xf>
    <xf numFmtId="0" fontId="16" fillId="37" borderId="10" xfId="8" applyFont="1" applyFill="1" applyBorder="1" applyAlignment="1">
      <alignment horizontal="left" vertical="center" wrapText="1"/>
    </xf>
    <xf numFmtId="1" fontId="49" fillId="0" borderId="11" xfId="8" applyNumberFormat="1" applyFont="1" applyFill="1" applyBorder="1" applyAlignment="1">
      <alignment horizontal="center" vertical="center"/>
    </xf>
    <xf numFmtId="3" fontId="16" fillId="37" borderId="10" xfId="8" applyNumberFormat="1" applyFont="1" applyFill="1" applyBorder="1" applyAlignment="1">
      <alignment horizontal="center" vertical="center"/>
    </xf>
    <xf numFmtId="0" fontId="16" fillId="37" borderId="10" xfId="8" applyFont="1" applyFill="1" applyBorder="1" applyAlignment="1">
      <alignment horizontal="left" vertical="center"/>
    </xf>
    <xf numFmtId="0" fontId="16" fillId="37" borderId="10" xfId="8" quotePrefix="1" applyFont="1" applyFill="1" applyBorder="1" applyAlignment="1">
      <alignment horizontal="left" vertical="center" wrapText="1"/>
    </xf>
    <xf numFmtId="0" fontId="16" fillId="37" borderId="10" xfId="8" quotePrefix="1" applyFont="1" applyFill="1" applyBorder="1" applyAlignment="1">
      <alignment horizontal="left" vertical="center"/>
    </xf>
    <xf numFmtId="3" fontId="16" fillId="0" borderId="10" xfId="8" applyNumberFormat="1" applyFont="1" applyBorder="1" applyAlignment="1">
      <alignment horizontal="center"/>
    </xf>
    <xf numFmtId="0" fontId="16" fillId="0" borderId="10" xfId="8" applyFont="1" applyFill="1" applyBorder="1" applyAlignment="1">
      <alignment horizontal="left" vertical="center"/>
    </xf>
    <xf numFmtId="0" fontId="16" fillId="0" borderId="10" xfId="8" quotePrefix="1" applyFont="1" applyFill="1" applyBorder="1" applyAlignment="1">
      <alignment horizontal="left" vertical="center"/>
    </xf>
    <xf numFmtId="1" fontId="49" fillId="0" borderId="9" xfId="8" applyNumberFormat="1" applyFont="1" applyFill="1" applyBorder="1" applyAlignment="1">
      <alignment horizontal="center" vertical="center"/>
    </xf>
    <xf numFmtId="49" fontId="16" fillId="0" borderId="10" xfId="8" quotePrefix="1" applyNumberFormat="1" applyFont="1" applyFill="1" applyBorder="1" applyAlignment="1">
      <alignment horizontal="left" vertical="center" wrapText="1"/>
    </xf>
    <xf numFmtId="171" fontId="15" fillId="0" borderId="10" xfId="9" applyNumberFormat="1" applyFont="1" applyFill="1" applyBorder="1" applyAlignment="1" applyProtection="1">
      <alignment horizontal="center" vertical="center"/>
    </xf>
    <xf numFmtId="3" fontId="16" fillId="0" borderId="8" xfId="0" applyNumberFormat="1" applyFont="1" applyFill="1" applyBorder="1" applyAlignment="1">
      <alignment horizontal="center" vertical="center"/>
    </xf>
    <xf numFmtId="0" fontId="16" fillId="0" borderId="10" xfId="8" quotePrefix="1" applyFont="1" applyFill="1" applyBorder="1" applyAlignment="1">
      <alignment horizontal="left" vertical="center" wrapText="1"/>
    </xf>
    <xf numFmtId="3" fontId="16" fillId="37" borderId="8" xfId="8" applyNumberFormat="1" applyFont="1" applyFill="1" applyBorder="1" applyAlignment="1">
      <alignment horizontal="center" vertical="center"/>
    </xf>
    <xf numFmtId="3" fontId="16" fillId="0" borderId="8" xfId="8" applyNumberFormat="1" applyFont="1" applyBorder="1" applyAlignment="1">
      <alignment horizontal="center"/>
    </xf>
    <xf numFmtId="3" fontId="16" fillId="0" borderId="8" xfId="8" applyNumberFormat="1" applyFont="1" applyFill="1" applyBorder="1" applyAlignment="1">
      <alignment horizontal="center"/>
    </xf>
    <xf numFmtId="3" fontId="16" fillId="39" borderId="10" xfId="8" applyNumberFormat="1" applyFont="1" applyFill="1" applyBorder="1" applyAlignment="1">
      <alignment horizontal="center" vertical="center"/>
    </xf>
    <xf numFmtId="0" fontId="16" fillId="39" borderId="10" xfId="8" applyFont="1" applyFill="1" applyBorder="1" applyAlignment="1">
      <alignment horizontal="left" vertical="center"/>
    </xf>
    <xf numFmtId="0" fontId="16" fillId="39" borderId="10" xfId="8" applyFont="1" applyFill="1" applyBorder="1" applyAlignment="1">
      <alignment horizontal="left" vertical="center" wrapText="1"/>
    </xf>
    <xf numFmtId="171" fontId="12" fillId="0" borderId="10" xfId="10" applyNumberFormat="1" applyFont="1" applyFill="1" applyBorder="1" applyAlignment="1" applyProtection="1">
      <alignment horizontal="center" vertical="center"/>
    </xf>
    <xf numFmtId="1" fontId="49" fillId="0" borderId="6" xfId="0" applyNumberFormat="1" applyFont="1" applyFill="1" applyBorder="1" applyAlignment="1">
      <alignment horizontal="center" vertical="center" wrapText="1"/>
    </xf>
    <xf numFmtId="3" fontId="16" fillId="37" borderId="8" xfId="8" applyNumberFormat="1" applyFont="1" applyFill="1" applyBorder="1" applyAlignment="1">
      <alignment horizontal="center" vertical="center" wrapText="1"/>
    </xf>
    <xf numFmtId="3" fontId="16" fillId="37" borderId="8" xfId="8" applyNumberFormat="1" applyFont="1" applyFill="1" applyBorder="1" applyAlignment="1">
      <alignment horizontal="center"/>
    </xf>
    <xf numFmtId="3" fontId="16" fillId="37" borderId="8" xfId="8" quotePrefix="1" applyNumberFormat="1" applyFont="1" applyFill="1" applyBorder="1" applyAlignment="1">
      <alignment horizontal="center" vertical="center"/>
    </xf>
    <xf numFmtId="0" fontId="16" fillId="0" borderId="0" xfId="85" applyFont="1" applyFill="1"/>
    <xf numFmtId="0" fontId="19" fillId="0" borderId="0" xfId="85" applyFont="1" applyFill="1" applyAlignment="1">
      <alignment horizontal="center" vertical="center" wrapText="1"/>
    </xf>
    <xf numFmtId="4" fontId="19" fillId="0" borderId="0" xfId="85" applyNumberFormat="1" applyFont="1" applyFill="1" applyAlignment="1">
      <alignment horizontal="center" vertical="center" wrapText="1"/>
    </xf>
    <xf numFmtId="0" fontId="16" fillId="0" borderId="10" xfId="85" applyFont="1" applyFill="1" applyBorder="1" applyAlignment="1">
      <alignment horizontal="center" vertical="center"/>
    </xf>
    <xf numFmtId="0" fontId="16" fillId="2" borderId="10" xfId="85" applyFont="1" applyFill="1" applyBorder="1" applyAlignment="1">
      <alignment horizontal="center" vertical="center"/>
    </xf>
    <xf numFmtId="1" fontId="55" fillId="2" borderId="10" xfId="85" applyNumberFormat="1" applyFont="1" applyFill="1" applyBorder="1" applyAlignment="1">
      <alignment horizontal="center" vertical="center"/>
    </xf>
    <xf numFmtId="172" fontId="13" fillId="2" borderId="10" xfId="87" applyNumberFormat="1" applyFont="1" applyFill="1" applyBorder="1" applyAlignment="1" applyProtection="1">
      <alignment horizontal="left" vertical="center" wrapText="1"/>
    </xf>
    <xf numFmtId="3" fontId="19" fillId="2" borderId="10" xfId="87" applyNumberFormat="1" applyFont="1" applyFill="1" applyBorder="1" applyAlignment="1">
      <alignment horizontal="center" vertical="center"/>
    </xf>
    <xf numFmtId="4" fontId="19" fillId="2" borderId="10" xfId="87" applyNumberFormat="1" applyFont="1" applyFill="1" applyBorder="1" applyAlignment="1">
      <alignment horizontal="center" vertical="center"/>
    </xf>
    <xf numFmtId="1" fontId="49" fillId="0" borderId="9" xfId="85" applyNumberFormat="1" applyFont="1" applyFill="1" applyBorder="1" applyAlignment="1">
      <alignment horizontal="center" vertical="center"/>
    </xf>
    <xf numFmtId="0" fontId="12" fillId="0" borderId="10" xfId="85" applyFont="1" applyFill="1" applyBorder="1" applyAlignment="1">
      <alignment horizontal="left" vertical="center" wrapText="1"/>
    </xf>
    <xf numFmtId="3" fontId="16" fillId="0" borderId="10" xfId="87" applyNumberFormat="1" applyFont="1" applyFill="1" applyBorder="1" applyAlignment="1">
      <alignment horizontal="center" vertical="center"/>
    </xf>
    <xf numFmtId="3" fontId="19" fillId="0" borderId="10" xfId="87" applyNumberFormat="1" applyFont="1" applyFill="1" applyBorder="1" applyAlignment="1">
      <alignment horizontal="center" vertical="center"/>
    </xf>
    <xf numFmtId="0" fontId="19" fillId="0" borderId="0" xfId="85" applyFont="1" applyFill="1"/>
    <xf numFmtId="0" fontId="19" fillId="0" borderId="0" xfId="85" applyFont="1" applyFill="1" applyBorder="1" applyAlignment="1">
      <alignment horizontal="right"/>
    </xf>
    <xf numFmtId="3" fontId="19" fillId="0" borderId="0" xfId="87" applyNumberFormat="1" applyFont="1" applyFill="1" applyBorder="1" applyAlignment="1">
      <alignment horizontal="center" vertical="center"/>
    </xf>
    <xf numFmtId="4" fontId="19" fillId="0" borderId="0" xfId="87" applyNumberFormat="1" applyFont="1" applyFill="1" applyBorder="1" applyAlignment="1">
      <alignment horizontal="center" vertical="center"/>
    </xf>
    <xf numFmtId="0" fontId="16" fillId="0" borderId="0" xfId="85" applyFont="1" applyFill="1" applyAlignment="1">
      <alignment horizontal="center" vertical="center"/>
    </xf>
    <xf numFmtId="4" fontId="16" fillId="0" borderId="0" xfId="87" applyNumberFormat="1" applyFont="1" applyFill="1" applyAlignment="1">
      <alignment horizontal="center" vertical="center"/>
    </xf>
    <xf numFmtId="0" fontId="16" fillId="0" borderId="0" xfId="85" quotePrefix="1" applyFont="1" applyFill="1"/>
    <xf numFmtId="0" fontId="12" fillId="0" borderId="10" xfId="85" applyFont="1" applyFill="1" applyBorder="1" applyAlignment="1">
      <alignment horizontal="center" vertical="center" wrapText="1"/>
    </xf>
    <xf numFmtId="4" fontId="12" fillId="0" borderId="10" xfId="68" applyNumberFormat="1" applyFont="1" applyFill="1" applyBorder="1" applyAlignment="1">
      <alignment horizontal="center" vertical="center" wrapText="1"/>
    </xf>
    <xf numFmtId="4" fontId="19" fillId="0" borderId="8" xfId="85" applyNumberFormat="1" applyFont="1" applyFill="1" applyBorder="1" applyAlignment="1">
      <alignment horizontal="center" vertical="center"/>
    </xf>
    <xf numFmtId="4" fontId="19" fillId="0" borderId="0" xfId="85" applyNumberFormat="1" applyFont="1" applyFill="1" applyBorder="1" applyAlignment="1">
      <alignment horizontal="right"/>
    </xf>
    <xf numFmtId="3" fontId="19" fillId="0" borderId="8" xfId="85" applyNumberFormat="1" applyFont="1" applyFill="1" applyBorder="1" applyAlignment="1">
      <alignment horizontal="center" vertical="center"/>
    </xf>
    <xf numFmtId="0" fontId="16" fillId="0" borderId="8" xfId="85" applyFont="1" applyFill="1" applyBorder="1" applyAlignment="1">
      <alignment horizontal="center"/>
    </xf>
    <xf numFmtId="1" fontId="16" fillId="2" borderId="6" xfId="85" applyNumberFormat="1" applyFont="1" applyFill="1" applyBorder="1" applyAlignment="1">
      <alignment horizontal="center" vertical="center"/>
    </xf>
    <xf numFmtId="1" fontId="49" fillId="0" borderId="6" xfId="85" applyNumberFormat="1" applyFont="1" applyFill="1" applyBorder="1" applyAlignment="1">
      <alignment horizontal="center" vertical="center"/>
    </xf>
    <xf numFmtId="1" fontId="16" fillId="0" borderId="6" xfId="0" applyNumberFormat="1" applyFont="1" applyFill="1" applyBorder="1" applyAlignment="1">
      <alignment horizontal="center" vertical="center" wrapText="1"/>
    </xf>
    <xf numFmtId="1" fontId="16" fillId="0" borderId="11" xfId="0" applyNumberFormat="1" applyFont="1" applyFill="1" applyBorder="1" applyAlignment="1">
      <alignment horizontal="center" vertical="center" wrapText="1"/>
    </xf>
    <xf numFmtId="1" fontId="16" fillId="0" borderId="9" xfId="0" applyNumberFormat="1" applyFont="1" applyFill="1" applyBorder="1" applyAlignment="1">
      <alignment horizontal="center" vertical="center" wrapText="1"/>
    </xf>
    <xf numFmtId="0" fontId="11" fillId="0" borderId="6" xfId="8" applyFont="1" applyFill="1" applyBorder="1" applyAlignment="1">
      <alignment horizontal="center" vertical="center"/>
    </xf>
    <xf numFmtId="0" fontId="11" fillId="0" borderId="11" xfId="8" applyFont="1" applyFill="1" applyBorder="1" applyAlignment="1">
      <alignment horizontal="center" vertical="center"/>
    </xf>
    <xf numFmtId="0" fontId="11" fillId="0" borderId="9" xfId="8" applyFont="1" applyFill="1" applyBorder="1" applyAlignment="1">
      <alignment horizontal="center" vertical="center"/>
    </xf>
    <xf numFmtId="0" fontId="11" fillId="0" borderId="18" xfId="8" applyFont="1" applyFill="1" applyBorder="1" applyAlignment="1">
      <alignment horizontal="center" vertical="center"/>
    </xf>
    <xf numFmtId="0" fontId="11" fillId="0" borderId="21" xfId="8" applyFont="1" applyFill="1" applyBorder="1" applyAlignment="1">
      <alignment horizontal="center" vertical="center"/>
    </xf>
    <xf numFmtId="0" fontId="11" fillId="0" borderId="19" xfId="8" applyFont="1" applyFill="1" applyBorder="1" applyAlignment="1">
      <alignment horizontal="center" vertical="center"/>
    </xf>
    <xf numFmtId="4" fontId="11" fillId="0" borderId="0" xfId="68" applyNumberFormat="1" applyFont="1" applyFill="1" applyAlignment="1">
      <alignment horizontal="left" vertical="center"/>
    </xf>
    <xf numFmtId="0" fontId="20" fillId="0" borderId="0" xfId="8" applyFont="1" applyFill="1" applyBorder="1" applyAlignment="1">
      <alignment horizontal="center" vertical="center" wrapText="1"/>
    </xf>
    <xf numFmtId="0" fontId="11" fillId="0" borderId="0" xfId="8" applyFont="1" applyFill="1" applyAlignment="1">
      <alignment horizontal="center" vertical="center" wrapText="1"/>
    </xf>
    <xf numFmtId="165" fontId="15" fillId="0" borderId="6" xfId="9" applyNumberFormat="1" applyFont="1" applyFill="1" applyBorder="1" applyAlignment="1" applyProtection="1">
      <alignment horizontal="center" vertical="center" wrapText="1"/>
    </xf>
    <xf numFmtId="165" fontId="15" fillId="0" borderId="9" xfId="9" applyNumberFormat="1" applyFont="1" applyFill="1" applyBorder="1" applyAlignment="1" applyProtection="1">
      <alignment horizontal="center" vertical="center" wrapText="1"/>
    </xf>
    <xf numFmtId="41" fontId="12" fillId="0" borderId="6" xfId="8" applyNumberFormat="1" applyFont="1" applyFill="1" applyBorder="1" applyAlignment="1">
      <alignment horizontal="center" vertical="center" wrapText="1"/>
    </xf>
    <xf numFmtId="41" fontId="12" fillId="0" borderId="9" xfId="8" applyNumberFormat="1" applyFont="1" applyFill="1" applyBorder="1" applyAlignment="1">
      <alignment horizontal="center" vertical="center" wrapText="1"/>
    </xf>
    <xf numFmtId="0" fontId="15" fillId="0" borderId="7" xfId="8" applyFont="1" applyFill="1" applyBorder="1" applyAlignment="1">
      <alignment horizontal="center" vertical="center" wrapText="1"/>
    </xf>
    <xf numFmtId="0" fontId="15" fillId="0" borderId="8" xfId="8" applyFont="1" applyFill="1" applyBorder="1" applyAlignment="1">
      <alignment horizontal="center" vertical="center" wrapText="1"/>
    </xf>
    <xf numFmtId="0" fontId="11" fillId="0" borderId="7" xfId="8" applyFont="1" applyFill="1" applyBorder="1" applyAlignment="1">
      <alignment horizontal="center" vertical="center"/>
    </xf>
    <xf numFmtId="0" fontId="11" fillId="0" borderId="8" xfId="8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right" wrapText="1"/>
    </xf>
    <xf numFmtId="0" fontId="11" fillId="0" borderId="21" xfId="8" applyFont="1" applyFill="1" applyBorder="1" applyAlignment="1">
      <alignment horizontal="center"/>
    </xf>
    <xf numFmtId="0" fontId="11" fillId="0" borderId="18" xfId="8" applyFont="1" applyFill="1" applyBorder="1" applyAlignment="1">
      <alignment horizontal="center"/>
    </xf>
    <xf numFmtId="1" fontId="16" fillId="0" borderId="21" xfId="0" applyNumberFormat="1" applyFont="1" applyFill="1" applyBorder="1" applyAlignment="1">
      <alignment horizontal="center" vertical="center" wrapText="1"/>
    </xf>
    <xf numFmtId="1" fontId="16" fillId="0" borderId="18" xfId="0" applyNumberFormat="1" applyFont="1" applyFill="1" applyBorder="1" applyAlignment="1">
      <alignment horizontal="center" vertical="center" wrapText="1"/>
    </xf>
    <xf numFmtId="1" fontId="16" fillId="0" borderId="19" xfId="0" applyNumberFormat="1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/>
    </xf>
    <xf numFmtId="1" fontId="16" fillId="0" borderId="11" xfId="0" applyNumberFormat="1" applyFont="1" applyFill="1" applyBorder="1" applyAlignment="1">
      <alignment horizontal="center" vertical="center"/>
    </xf>
    <xf numFmtId="1" fontId="16" fillId="0" borderId="9" xfId="0" applyNumberFormat="1" applyFont="1" applyFill="1" applyBorder="1" applyAlignment="1">
      <alignment horizontal="center" vertical="center"/>
    </xf>
    <xf numFmtId="0" fontId="24" fillId="0" borderId="6" xfId="8" applyFont="1" applyBorder="1" applyAlignment="1">
      <alignment horizontal="center"/>
    </xf>
    <xf numFmtId="0" fontId="24" fillId="0" borderId="11" xfId="8" applyFont="1" applyBorder="1" applyAlignment="1">
      <alignment horizontal="center"/>
    </xf>
    <xf numFmtId="0" fontId="24" fillId="0" borderId="9" xfId="8" applyFont="1" applyBorder="1" applyAlignment="1">
      <alignment horizontal="center"/>
    </xf>
    <xf numFmtId="165" fontId="15" fillId="0" borderId="10" xfId="9" applyNumberFormat="1" applyFont="1" applyFill="1" applyBorder="1" applyAlignment="1" applyProtection="1">
      <alignment horizontal="center" vertical="center" wrapText="1"/>
    </xf>
    <xf numFmtId="0" fontId="15" fillId="0" borderId="10" xfId="8" applyFont="1" applyFill="1" applyBorder="1" applyAlignment="1">
      <alignment horizontal="center" vertical="center" wrapText="1"/>
    </xf>
    <xf numFmtId="0" fontId="15" fillId="0" borderId="0" xfId="8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right"/>
    </xf>
    <xf numFmtId="0" fontId="18" fillId="0" borderId="12" xfId="0" applyFont="1" applyBorder="1" applyAlignment="1">
      <alignment horizontal="right"/>
    </xf>
    <xf numFmtId="0" fontId="18" fillId="0" borderId="8" xfId="0" applyFont="1" applyBorder="1" applyAlignment="1">
      <alignment horizontal="right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8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49" fontId="16" fillId="36" borderId="10" xfId="0" applyNumberFormat="1" applyFont="1" applyFill="1" applyBorder="1" applyAlignment="1">
      <alignment horizontal="center" vertical="center" wrapText="1"/>
    </xf>
    <xf numFmtId="0" fontId="15" fillId="0" borderId="12" xfId="8" applyFont="1" applyFill="1" applyBorder="1" applyAlignment="1">
      <alignment horizontal="center" vertical="center" wrapText="1"/>
    </xf>
    <xf numFmtId="0" fontId="11" fillId="0" borderId="10" xfId="8" applyFont="1" applyFill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 wrapText="1"/>
    </xf>
    <xf numFmtId="4" fontId="11" fillId="0" borderId="9" xfId="0" applyNumberFormat="1" applyFont="1" applyBorder="1" applyAlignment="1">
      <alignment horizontal="center" vertical="center" wrapText="1"/>
    </xf>
    <xf numFmtId="0" fontId="11" fillId="0" borderId="12" xfId="8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3" fontId="15" fillId="0" borderId="6" xfId="9" applyNumberFormat="1" applyFont="1" applyFill="1" applyBorder="1" applyAlignment="1" applyProtection="1">
      <alignment horizontal="center" vertical="center" wrapText="1"/>
    </xf>
    <xf numFmtId="3" fontId="15" fillId="0" borderId="9" xfId="9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4" fontId="11" fillId="0" borderId="0" xfId="8" applyNumberFormat="1" applyFont="1" applyFill="1" applyAlignment="1">
      <alignment horizontal="left" vertical="center"/>
    </xf>
    <xf numFmtId="0" fontId="15" fillId="0" borderId="0" xfId="8" applyFont="1" applyFill="1" applyAlignment="1">
      <alignment horizontal="center" vertical="center" wrapText="1"/>
    </xf>
    <xf numFmtId="0" fontId="15" fillId="0" borderId="6" xfId="8" applyFont="1" applyFill="1" applyBorder="1" applyAlignment="1">
      <alignment horizontal="center" vertical="center" wrapText="1"/>
    </xf>
    <xf numFmtId="0" fontId="15" fillId="0" borderId="9" xfId="8" applyFont="1" applyFill="1" applyBorder="1" applyAlignment="1">
      <alignment horizontal="center" vertical="center" wrapText="1"/>
    </xf>
    <xf numFmtId="41" fontId="13" fillId="0" borderId="0" xfId="1" applyNumberFormat="1" applyFont="1" applyFill="1" applyAlignment="1">
      <alignment horizontal="center" vertical="center" wrapText="1"/>
    </xf>
    <xf numFmtId="41" fontId="12" fillId="0" borderId="0" xfId="1" applyNumberFormat="1" applyFont="1" applyFill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/>
    </xf>
    <xf numFmtId="3" fontId="16" fillId="0" borderId="6" xfId="9" applyNumberFormat="1" applyFont="1" applyFill="1" applyBorder="1" applyAlignment="1" applyProtection="1">
      <alignment horizontal="center" vertical="center"/>
    </xf>
    <xf numFmtId="3" fontId="16" fillId="0" borderId="11" xfId="9" applyNumberFormat="1" applyFont="1" applyFill="1" applyBorder="1" applyAlignment="1" applyProtection="1">
      <alignment horizontal="center" vertical="center"/>
    </xf>
    <xf numFmtId="3" fontId="16" fillId="0" borderId="9" xfId="9" applyNumberFormat="1" applyFont="1" applyFill="1" applyBorder="1" applyAlignment="1" applyProtection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0" fontId="11" fillId="0" borderId="11" xfId="1" applyFont="1" applyBorder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8" fillId="0" borderId="7" xfId="1" applyFont="1" applyFill="1" applyBorder="1" applyAlignment="1">
      <alignment horizontal="right" wrapText="1"/>
    </xf>
    <xf numFmtId="0" fontId="18" fillId="0" borderId="12" xfId="1" applyFont="1" applyFill="1" applyBorder="1" applyAlignment="1">
      <alignment horizontal="right" wrapText="1"/>
    </xf>
    <xf numFmtId="0" fontId="18" fillId="0" borderId="8" xfId="1" applyFont="1" applyFill="1" applyBorder="1" applyAlignment="1">
      <alignment horizontal="right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11" fillId="0" borderId="21" xfId="1" applyFont="1" applyFill="1" applyBorder="1" applyAlignment="1">
      <alignment horizontal="center" vertical="center"/>
    </xf>
    <xf numFmtId="0" fontId="11" fillId="0" borderId="18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center" vertical="center"/>
    </xf>
    <xf numFmtId="0" fontId="11" fillId="0" borderId="11" xfId="1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right" wrapText="1"/>
    </xf>
    <xf numFmtId="0" fontId="20" fillId="2" borderId="12" xfId="0" applyFont="1" applyFill="1" applyBorder="1" applyAlignment="1">
      <alignment horizontal="right" wrapText="1"/>
    </xf>
    <xf numFmtId="0" fontId="20" fillId="2" borderId="8" xfId="0" applyFont="1" applyFill="1" applyBorder="1" applyAlignment="1">
      <alignment horizontal="right" wrapText="1"/>
    </xf>
    <xf numFmtId="0" fontId="12" fillId="0" borderId="6" xfId="1" applyNumberFormat="1" applyFont="1" applyFill="1" applyBorder="1" applyAlignment="1">
      <alignment horizontal="center" vertical="center" wrapText="1"/>
    </xf>
    <xf numFmtId="0" fontId="12" fillId="0" borderId="9" xfId="1" applyNumberFormat="1" applyFont="1" applyFill="1" applyBorder="1" applyAlignment="1">
      <alignment horizontal="center" vertical="center" wrapText="1"/>
    </xf>
    <xf numFmtId="41" fontId="11" fillId="0" borderId="21" xfId="1" applyNumberFormat="1" applyFont="1" applyBorder="1" applyAlignment="1">
      <alignment horizontal="center" vertical="center"/>
    </xf>
    <xf numFmtId="41" fontId="11" fillId="0" borderId="18" xfId="1" applyNumberFormat="1" applyFont="1" applyBorder="1" applyAlignment="1">
      <alignment horizontal="center" vertical="center"/>
    </xf>
    <xf numFmtId="41" fontId="11" fillId="0" borderId="19" xfId="1" applyNumberFormat="1" applyFont="1" applyBorder="1" applyAlignment="1">
      <alignment horizontal="center" vertical="center"/>
    </xf>
    <xf numFmtId="41" fontId="11" fillId="0" borderId="6" xfId="1" applyNumberFormat="1" applyFont="1" applyBorder="1" applyAlignment="1">
      <alignment horizontal="center" vertical="center"/>
    </xf>
    <xf numFmtId="41" fontId="11" fillId="0" borderId="9" xfId="1" applyNumberFormat="1" applyFont="1" applyBorder="1" applyAlignment="1">
      <alignment horizontal="center" vertical="center"/>
    </xf>
    <xf numFmtId="0" fontId="16" fillId="0" borderId="0" xfId="1" applyFont="1" applyFill="1" applyAlignment="1">
      <alignment horizontal="center" wrapText="1"/>
    </xf>
    <xf numFmtId="0" fontId="16" fillId="0" borderId="10" xfId="72" applyFont="1" applyFill="1" applyBorder="1" applyAlignment="1">
      <alignment horizontal="center" vertical="center" wrapText="1"/>
    </xf>
    <xf numFmtId="0" fontId="16" fillId="0" borderId="21" xfId="72" applyFont="1" applyFill="1" applyBorder="1" applyAlignment="1">
      <alignment horizontal="center" vertical="center"/>
    </xf>
    <xf numFmtId="0" fontId="16" fillId="0" borderId="18" xfId="72" applyFont="1" applyFill="1" applyBorder="1" applyAlignment="1">
      <alignment horizontal="center" vertical="center"/>
    </xf>
    <xf numFmtId="0" fontId="16" fillId="0" borderId="6" xfId="72" applyFont="1" applyFill="1" applyBorder="1" applyAlignment="1">
      <alignment horizontal="center" vertical="center"/>
    </xf>
    <xf numFmtId="0" fontId="16" fillId="0" borderId="9" xfId="72" applyFont="1" applyFill="1" applyBorder="1" applyAlignment="1">
      <alignment horizontal="center" vertical="center"/>
    </xf>
    <xf numFmtId="0" fontId="16" fillId="0" borderId="11" xfId="72" applyFont="1" applyFill="1" applyBorder="1" applyAlignment="1">
      <alignment horizontal="center" vertical="center"/>
    </xf>
    <xf numFmtId="0" fontId="16" fillId="0" borderId="20" xfId="72" applyFont="1" applyFill="1" applyBorder="1" applyAlignment="1">
      <alignment horizontal="center" vertical="center"/>
    </xf>
    <xf numFmtId="0" fontId="16" fillId="0" borderId="22" xfId="72" applyFont="1" applyFill="1" applyBorder="1" applyAlignment="1">
      <alignment horizontal="center" vertical="center"/>
    </xf>
    <xf numFmtId="0" fontId="16" fillId="0" borderId="23" xfId="72" applyFont="1" applyFill="1" applyBorder="1" applyAlignment="1">
      <alignment horizontal="center" vertical="center"/>
    </xf>
    <xf numFmtId="0" fontId="19" fillId="0" borderId="7" xfId="85" applyFont="1" applyFill="1" applyBorder="1" applyAlignment="1">
      <alignment horizontal="right"/>
    </xf>
    <xf numFmtId="0" fontId="19" fillId="0" borderId="17" xfId="85" applyFont="1" applyFill="1" applyBorder="1" applyAlignment="1">
      <alignment horizontal="right"/>
    </xf>
    <xf numFmtId="0" fontId="19" fillId="0" borderId="12" xfId="85" applyFont="1" applyFill="1" applyBorder="1" applyAlignment="1">
      <alignment horizontal="right"/>
    </xf>
    <xf numFmtId="0" fontId="19" fillId="0" borderId="8" xfId="85" applyFont="1" applyFill="1" applyBorder="1" applyAlignment="1">
      <alignment horizontal="right"/>
    </xf>
    <xf numFmtId="0" fontId="16" fillId="0" borderId="6" xfId="85" applyFont="1" applyFill="1" applyBorder="1" applyAlignment="1">
      <alignment horizontal="center" vertical="center"/>
    </xf>
    <xf numFmtId="0" fontId="16" fillId="0" borderId="9" xfId="85" applyFont="1" applyFill="1" applyBorder="1" applyAlignment="1">
      <alignment horizontal="center" vertical="center"/>
    </xf>
    <xf numFmtId="0" fontId="16" fillId="0" borderId="10" xfId="85" applyFont="1" applyFill="1" applyBorder="1" applyAlignment="1">
      <alignment horizontal="center" vertical="center" wrapText="1"/>
    </xf>
  </cellXfs>
  <cellStyles count="97">
    <cellStyle name="Excel Built-in 20% - Accent1" xfId="14"/>
    <cellStyle name="Excel Built-in 20% - Accent2" xfId="15"/>
    <cellStyle name="Excel Built-in 20% - Accent3" xfId="16"/>
    <cellStyle name="Excel Built-in 20% - Accent4" xfId="17"/>
    <cellStyle name="Excel Built-in 20% - Accent5" xfId="18"/>
    <cellStyle name="Excel Built-in 20% - Accent6" xfId="19"/>
    <cellStyle name="Excel Built-in 40% - Accent1" xfId="20"/>
    <cellStyle name="Excel Built-in 40% - Accent2" xfId="21"/>
    <cellStyle name="Excel Built-in 40% - Accent3" xfId="22"/>
    <cellStyle name="Excel Built-in 40% - Accent4" xfId="23"/>
    <cellStyle name="Excel Built-in 40% - Accent5" xfId="24"/>
    <cellStyle name="Excel Built-in 40% - Accent6" xfId="25"/>
    <cellStyle name="Excel Built-in 60% - Accent1" xfId="26"/>
    <cellStyle name="Excel Built-in 60% - Accent2" xfId="27"/>
    <cellStyle name="Excel Built-in 60% - Accent3" xfId="28"/>
    <cellStyle name="Excel Built-in 60% - Accent4" xfId="29"/>
    <cellStyle name="Excel Built-in 60% - Accent5" xfId="30"/>
    <cellStyle name="Excel Built-in 60% - Accent6" xfId="31"/>
    <cellStyle name="Excel Built-in Accent1" xfId="32"/>
    <cellStyle name="Excel Built-in Accent2" xfId="33"/>
    <cellStyle name="Excel Built-in Accent3" xfId="34"/>
    <cellStyle name="Excel Built-in Accent4" xfId="35"/>
    <cellStyle name="Excel Built-in Accent5" xfId="36"/>
    <cellStyle name="Excel Built-in Accent6" xfId="37"/>
    <cellStyle name="Excel Built-in Bad" xfId="38"/>
    <cellStyle name="Excel Built-in Calculation" xfId="39"/>
    <cellStyle name="Excel Built-in Check Cell" xfId="40"/>
    <cellStyle name="Excel Built-in Comma" xfId="2"/>
    <cellStyle name="Excel Built-in Comma 1" xfId="12"/>
    <cellStyle name="Excel Built-in Comma 1 2" xfId="13"/>
    <cellStyle name="Excel Built-in Comma 2" xfId="9"/>
    <cellStyle name="Excel Built-in Explanatory Text" xfId="41"/>
    <cellStyle name="Excel Built-in Good" xfId="42"/>
    <cellStyle name="Excel Built-in Heading 1" xfId="43"/>
    <cellStyle name="Excel Built-in Heading 2" xfId="44"/>
    <cellStyle name="Excel Built-in Heading 3" xfId="45"/>
    <cellStyle name="Excel Built-in Heading 4" xfId="46"/>
    <cellStyle name="Excel Built-in Input" xfId="47"/>
    <cellStyle name="Excel Built-in Linked Cell" xfId="48"/>
    <cellStyle name="Excel Built-in Neutral" xfId="49"/>
    <cellStyle name="Excel Built-in Normal" xfId="5"/>
    <cellStyle name="Excel Built-in Normal 1" xfId="50"/>
    <cellStyle name="Excel Built-in Normal 2" xfId="51"/>
    <cellStyle name="Excel Built-in Note" xfId="52"/>
    <cellStyle name="Excel Built-in Output" xfId="53"/>
    <cellStyle name="Excel Built-in Title" xfId="54"/>
    <cellStyle name="Excel Built-in Total" xfId="55"/>
    <cellStyle name="Excel Built-in Warning Text" xfId="56"/>
    <cellStyle name="Heading" xfId="57"/>
    <cellStyle name="Heading1" xfId="58"/>
    <cellStyle name="Normal_Sheet2" xfId="6"/>
    <cellStyle name="Result" xfId="59"/>
    <cellStyle name="Result2" xfId="60"/>
    <cellStyle name="TableStyleLight1" xfId="61"/>
    <cellStyle name="Обычный" xfId="0" builtinId="0"/>
    <cellStyle name="Обычный 10" xfId="67"/>
    <cellStyle name="Обычный 10 2" xfId="82"/>
    <cellStyle name="Обычный 11" xfId="89"/>
    <cellStyle name="Обычный 12" xfId="90"/>
    <cellStyle name="Обычный 2" xfId="1"/>
    <cellStyle name="Обычный 2 2" xfId="64"/>
    <cellStyle name="Обычный 2 3" xfId="66"/>
    <cellStyle name="Обычный 2 3 2" xfId="62"/>
    <cellStyle name="Обычный 2 3 2 2" xfId="65"/>
    <cellStyle name="Обычный 2 3 2 3" xfId="79"/>
    <cellStyle name="Обычный 2 3 3" xfId="11"/>
    <cellStyle name="Обычный 2 3 3 2" xfId="69"/>
    <cellStyle name="Обычный 2 3 3 3" xfId="81"/>
    <cellStyle name="Обычный 2 4" xfId="91"/>
    <cellStyle name="Обычный 2 5" xfId="84"/>
    <cellStyle name="Обычный 2 5 2" xfId="85"/>
    <cellStyle name="Обычный 2 6" xfId="83"/>
    <cellStyle name="Обычный 2 7" xfId="92"/>
    <cellStyle name="Обычный 2 8" xfId="93"/>
    <cellStyle name="Обычный 3" xfId="8"/>
    <cellStyle name="Обычный 4" xfId="70"/>
    <cellStyle name="Обычный 5" xfId="7"/>
    <cellStyle name="Обычный 6" xfId="72"/>
    <cellStyle name="Обычный 6 2" xfId="94"/>
    <cellStyle name="Обычный 6 3" xfId="86"/>
    <cellStyle name="Обычный 6 4" xfId="95"/>
    <cellStyle name="Обычный 7" xfId="74"/>
    <cellStyle name="Обычный 8" xfId="75"/>
    <cellStyle name="Обычный 9" xfId="77"/>
    <cellStyle name="Обычный_СТАЦИОНАР (ГОБУЗ НОКБ)" xfId="4"/>
    <cellStyle name="Финансовый" xfId="68" builtinId="3"/>
    <cellStyle name="Финансовый 2" xfId="3"/>
    <cellStyle name="Финансовый 2 2" xfId="96"/>
    <cellStyle name="Финансовый 2 4" xfId="80"/>
    <cellStyle name="Финансовый 3" xfId="10"/>
    <cellStyle name="Финансовый 4" xfId="63"/>
    <cellStyle name="Финансовый 4 2" xfId="87"/>
    <cellStyle name="Финансовый 5" xfId="71"/>
    <cellStyle name="Финансовый 6" xfId="73"/>
    <cellStyle name="Финансовый 6 2" xfId="88"/>
    <cellStyle name="Финансовый 7" xfId="76"/>
    <cellStyle name="Финансовый 8" xfId="78"/>
  </cellStyles>
  <dxfs count="0"/>
  <tableStyles count="0" defaultTableStyle="TableStyleMedium2" defaultPivotStyle="PivotStyleMedium9"/>
  <colors>
    <mruColors>
      <color rgb="FFFF66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  <pageSetUpPr fitToPage="1"/>
  </sheetPr>
  <dimension ref="A1:N394"/>
  <sheetViews>
    <sheetView zoomScale="80" zoomScaleNormal="80" workbookViewId="0">
      <pane xSplit="4" ySplit="11" topLeftCell="E380" activePane="bottomRight" state="frozen"/>
      <selection pane="topRight" activeCell="E1" sqref="E1"/>
      <selection pane="bottomLeft" activeCell="A12" sqref="A12"/>
      <selection pane="bottomRight" activeCell="G382" sqref="G382"/>
    </sheetView>
  </sheetViews>
  <sheetFormatPr defaultRowHeight="18.75"/>
  <cols>
    <col min="1" max="1" width="6.85546875" style="69" customWidth="1"/>
    <col min="2" max="2" width="10" style="69" customWidth="1"/>
    <col min="3" max="3" width="11.140625" style="33" customWidth="1"/>
    <col min="4" max="4" width="51.42578125" style="39" customWidth="1"/>
    <col min="5" max="5" width="18.85546875" style="101" customWidth="1"/>
    <col min="6" max="6" width="21.140625" style="144" customWidth="1"/>
    <col min="7" max="7" width="17.5703125" style="35" customWidth="1"/>
    <col min="8" max="8" width="20.85546875" style="170" customWidth="1"/>
    <col min="9" max="9" width="9.7109375" style="35" customWidth="1"/>
    <col min="10" max="10" width="17.28515625" style="35" customWidth="1"/>
    <col min="11" max="11" width="25" style="35" customWidth="1"/>
    <col min="12" max="820" width="9.7109375" style="35" customWidth="1"/>
    <col min="821" max="16384" width="9.140625" style="35"/>
  </cols>
  <sheetData>
    <row r="1" spans="1:8" s="32" customFormat="1">
      <c r="A1" s="124"/>
      <c r="B1" s="123"/>
      <c r="C1" s="124"/>
      <c r="D1" s="30"/>
      <c r="F1" s="275"/>
      <c r="G1" s="276"/>
      <c r="H1" s="169" t="s">
        <v>158</v>
      </c>
    </row>
    <row r="2" spans="1:8" s="32" customFormat="1">
      <c r="A2" s="124"/>
      <c r="B2" s="123"/>
      <c r="C2" s="124"/>
      <c r="D2" s="30"/>
      <c r="F2" s="275"/>
      <c r="G2" s="276"/>
      <c r="H2" s="169" t="s">
        <v>157</v>
      </c>
    </row>
    <row r="3" spans="1:8" s="32" customFormat="1">
      <c r="A3" s="124"/>
      <c r="B3" s="123"/>
      <c r="C3" s="124"/>
      <c r="D3" s="30"/>
      <c r="F3" s="453" t="s">
        <v>251</v>
      </c>
      <c r="G3" s="453"/>
      <c r="H3" s="453"/>
    </row>
    <row r="4" spans="1:8">
      <c r="B4" s="101"/>
      <c r="C4" s="101"/>
      <c r="D4" s="33"/>
    </row>
    <row r="5" spans="1:8" ht="52.5" hidden="1" customHeight="1">
      <c r="A5" s="454" t="s">
        <v>149</v>
      </c>
      <c r="B5" s="454"/>
      <c r="C5" s="454"/>
      <c r="D5" s="454"/>
      <c r="E5" s="454"/>
      <c r="F5" s="454"/>
    </row>
    <row r="6" spans="1:8" hidden="1">
      <c r="B6" s="101"/>
      <c r="C6" s="101"/>
      <c r="D6" s="33"/>
      <c r="E6" s="36"/>
    </row>
    <row r="7" spans="1:8" ht="18.75" customHeight="1">
      <c r="A7" s="455" t="s">
        <v>162</v>
      </c>
      <c r="B7" s="455"/>
      <c r="C7" s="455"/>
      <c r="D7" s="455"/>
      <c r="E7" s="455"/>
      <c r="F7" s="455"/>
      <c r="G7" s="455"/>
      <c r="H7" s="455"/>
    </row>
    <row r="8" spans="1:8">
      <c r="A8" s="78"/>
      <c r="B8" s="78"/>
      <c r="C8" s="79"/>
      <c r="D8" s="80"/>
      <c r="E8" s="81"/>
      <c r="F8" s="267"/>
    </row>
    <row r="9" spans="1:8" ht="53.25" customHeight="1">
      <c r="A9" s="456" t="s">
        <v>35</v>
      </c>
      <c r="B9" s="456" t="s">
        <v>1</v>
      </c>
      <c r="C9" s="456" t="s">
        <v>2</v>
      </c>
      <c r="D9" s="458" t="s">
        <v>150</v>
      </c>
      <c r="E9" s="460" t="s">
        <v>163</v>
      </c>
      <c r="F9" s="461"/>
      <c r="G9" s="462" t="s">
        <v>164</v>
      </c>
      <c r="H9" s="463"/>
    </row>
    <row r="10" spans="1:8" ht="51" customHeight="1">
      <c r="A10" s="457"/>
      <c r="B10" s="457"/>
      <c r="C10" s="457"/>
      <c r="D10" s="459"/>
      <c r="E10" s="236" t="s">
        <v>3</v>
      </c>
      <c r="F10" s="228" t="s">
        <v>37</v>
      </c>
      <c r="G10" s="236" t="s">
        <v>3</v>
      </c>
      <c r="H10" s="171" t="s">
        <v>37</v>
      </c>
    </row>
    <row r="11" spans="1:8">
      <c r="A11" s="37">
        <v>1</v>
      </c>
      <c r="B11" s="37">
        <v>2</v>
      </c>
      <c r="C11" s="37">
        <v>3</v>
      </c>
      <c r="D11" s="38">
        <v>4</v>
      </c>
      <c r="E11" s="38">
        <v>5</v>
      </c>
      <c r="F11" s="38">
        <v>6</v>
      </c>
      <c r="G11" s="38">
        <v>7</v>
      </c>
      <c r="H11" s="38">
        <v>8</v>
      </c>
    </row>
    <row r="12" spans="1:8">
      <c r="A12" s="114">
        <v>1</v>
      </c>
      <c r="B12" s="114">
        <v>530001</v>
      </c>
      <c r="C12" s="50" t="s">
        <v>165</v>
      </c>
      <c r="D12" s="127" t="s">
        <v>166</v>
      </c>
      <c r="E12" s="128">
        <f>SUM(E13:E20)</f>
        <v>197</v>
      </c>
      <c r="F12" s="129">
        <f t="shared" ref="F12:H12" si="0">SUM(F13:F20)</f>
        <v>33930</v>
      </c>
      <c r="G12" s="128">
        <f t="shared" si="0"/>
        <v>197</v>
      </c>
      <c r="H12" s="172">
        <f t="shared" si="0"/>
        <v>33930</v>
      </c>
    </row>
    <row r="13" spans="1:8">
      <c r="A13" s="447"/>
      <c r="B13" s="148">
        <v>530001</v>
      </c>
      <c r="C13" s="83" t="s">
        <v>48</v>
      </c>
      <c r="D13" s="65" t="s">
        <v>9</v>
      </c>
      <c r="E13" s="51">
        <v>-49</v>
      </c>
      <c r="F13" s="130">
        <v>-9729</v>
      </c>
      <c r="G13" s="51">
        <v>-49</v>
      </c>
      <c r="H13" s="173">
        <v>-9729</v>
      </c>
    </row>
    <row r="14" spans="1:8">
      <c r="A14" s="448"/>
      <c r="B14" s="148">
        <v>530001</v>
      </c>
      <c r="C14" s="83" t="s">
        <v>50</v>
      </c>
      <c r="D14" s="65" t="s">
        <v>5</v>
      </c>
      <c r="E14" s="51">
        <v>-63</v>
      </c>
      <c r="F14" s="130">
        <v>-30744</v>
      </c>
      <c r="G14" s="51">
        <v>-63</v>
      </c>
      <c r="H14" s="173">
        <v>-30744</v>
      </c>
    </row>
    <row r="15" spans="1:8">
      <c r="A15" s="448"/>
      <c r="B15" s="148">
        <v>530001</v>
      </c>
      <c r="C15" s="83" t="s">
        <v>51</v>
      </c>
      <c r="D15" s="65" t="s">
        <v>154</v>
      </c>
      <c r="E15" s="51">
        <v>-117</v>
      </c>
      <c r="F15" s="130">
        <v>-23868</v>
      </c>
      <c r="G15" s="51">
        <v>-117</v>
      </c>
      <c r="H15" s="173">
        <v>-23868</v>
      </c>
    </row>
    <row r="16" spans="1:8">
      <c r="A16" s="448"/>
      <c r="B16" s="148">
        <v>530001</v>
      </c>
      <c r="C16" s="83" t="s">
        <v>53</v>
      </c>
      <c r="D16" s="65" t="s">
        <v>44</v>
      </c>
      <c r="E16" s="51">
        <v>-23</v>
      </c>
      <c r="F16" s="130">
        <v>-5819</v>
      </c>
      <c r="G16" s="51">
        <v>-23</v>
      </c>
      <c r="H16" s="173">
        <v>-5819</v>
      </c>
    </row>
    <row r="17" spans="1:11">
      <c r="A17" s="448"/>
      <c r="B17" s="148">
        <v>530001</v>
      </c>
      <c r="C17" s="83" t="s">
        <v>82</v>
      </c>
      <c r="D17" s="65" t="s">
        <v>83</v>
      </c>
      <c r="E17" s="51">
        <v>-95</v>
      </c>
      <c r="F17" s="130">
        <v>-55670</v>
      </c>
      <c r="G17" s="51">
        <v>-95</v>
      </c>
      <c r="H17" s="173">
        <v>-55670</v>
      </c>
    </row>
    <row r="18" spans="1:11">
      <c r="A18" s="448"/>
      <c r="B18" s="148">
        <v>530001</v>
      </c>
      <c r="C18" s="83" t="s">
        <v>61</v>
      </c>
      <c r="D18" s="65" t="s">
        <v>16</v>
      </c>
      <c r="E18" s="51">
        <v>226</v>
      </c>
      <c r="F18" s="130">
        <v>53562</v>
      </c>
      <c r="G18" s="51">
        <v>226</v>
      </c>
      <c r="H18" s="173">
        <v>53562</v>
      </c>
    </row>
    <row r="19" spans="1:11">
      <c r="A19" s="448"/>
      <c r="B19" s="148">
        <v>530001</v>
      </c>
      <c r="C19" s="83" t="s">
        <v>167</v>
      </c>
      <c r="D19" s="65" t="s">
        <v>42</v>
      </c>
      <c r="E19" s="51">
        <v>-20</v>
      </c>
      <c r="F19" s="130">
        <v>-5680</v>
      </c>
      <c r="G19" s="51">
        <v>-20</v>
      </c>
      <c r="H19" s="173">
        <v>-5680</v>
      </c>
    </row>
    <row r="20" spans="1:11" ht="58.5" customHeight="1">
      <c r="A20" s="448"/>
      <c r="B20" s="148">
        <v>530001</v>
      </c>
      <c r="C20" s="83" t="s">
        <v>66</v>
      </c>
      <c r="D20" s="65" t="s">
        <v>168</v>
      </c>
      <c r="E20" s="51">
        <v>338</v>
      </c>
      <c r="F20" s="130">
        <v>111878</v>
      </c>
      <c r="G20" s="51">
        <v>338</v>
      </c>
      <c r="H20" s="173">
        <v>111878</v>
      </c>
    </row>
    <row r="21" spans="1:11">
      <c r="A21" s="114">
        <v>2</v>
      </c>
      <c r="B21" s="210">
        <v>530002</v>
      </c>
      <c r="C21" s="50" t="s">
        <v>165</v>
      </c>
      <c r="D21" s="127" t="s">
        <v>169</v>
      </c>
      <c r="E21" s="128">
        <f>SUM(E22:E37)</f>
        <v>3795</v>
      </c>
      <c r="F21" s="129">
        <f t="shared" ref="F21:H21" si="1">SUM(F22:F37)</f>
        <v>1151807</v>
      </c>
      <c r="G21" s="128">
        <f t="shared" si="1"/>
        <v>3795</v>
      </c>
      <c r="H21" s="172">
        <f t="shared" si="1"/>
        <v>1142890</v>
      </c>
      <c r="J21" s="288"/>
      <c r="K21" s="288"/>
    </row>
    <row r="22" spans="1:11">
      <c r="A22" s="451"/>
      <c r="B22" s="112">
        <v>530002</v>
      </c>
      <c r="C22" s="107" t="s">
        <v>48</v>
      </c>
      <c r="D22" s="65" t="s">
        <v>9</v>
      </c>
      <c r="E22" s="51">
        <v>85</v>
      </c>
      <c r="F22" s="130">
        <v>38165</v>
      </c>
      <c r="G22" s="51">
        <v>85</v>
      </c>
      <c r="H22" s="173">
        <v>38165</v>
      </c>
    </row>
    <row r="23" spans="1:11">
      <c r="A23" s="450"/>
      <c r="B23" s="212">
        <v>530002</v>
      </c>
      <c r="C23" s="107" t="s">
        <v>50</v>
      </c>
      <c r="D23" s="65" t="s">
        <v>5</v>
      </c>
      <c r="E23" s="51">
        <v>16</v>
      </c>
      <c r="F23" s="130">
        <v>7808</v>
      </c>
      <c r="G23" s="51">
        <v>16</v>
      </c>
      <c r="H23" s="173">
        <v>7808</v>
      </c>
    </row>
    <row r="24" spans="1:11">
      <c r="A24" s="450"/>
      <c r="B24" s="212">
        <v>530002</v>
      </c>
      <c r="C24" s="107">
        <v>17</v>
      </c>
      <c r="D24" s="65" t="s">
        <v>10</v>
      </c>
      <c r="E24" s="51">
        <v>218</v>
      </c>
      <c r="F24" s="130">
        <v>58590</v>
      </c>
      <c r="G24" s="51">
        <v>218</v>
      </c>
      <c r="H24" s="173">
        <v>58860</v>
      </c>
    </row>
    <row r="25" spans="1:11">
      <c r="A25" s="450"/>
      <c r="B25" s="212">
        <v>530002</v>
      </c>
      <c r="C25" s="107" t="s">
        <v>68</v>
      </c>
      <c r="D25" s="65" t="s">
        <v>69</v>
      </c>
      <c r="E25" s="51">
        <v>7</v>
      </c>
      <c r="F25" s="130">
        <v>1771</v>
      </c>
      <c r="G25" s="51">
        <v>7</v>
      </c>
      <c r="H25" s="173">
        <v>1771</v>
      </c>
    </row>
    <row r="26" spans="1:11">
      <c r="A26" s="450"/>
      <c r="B26" s="212">
        <v>530002</v>
      </c>
      <c r="C26" s="107" t="s">
        <v>70</v>
      </c>
      <c r="D26" s="65" t="s">
        <v>45</v>
      </c>
      <c r="E26" s="51">
        <v>45</v>
      </c>
      <c r="F26" s="130">
        <v>9225</v>
      </c>
      <c r="G26" s="51">
        <v>45</v>
      </c>
      <c r="H26" s="173">
        <v>9225</v>
      </c>
    </row>
    <row r="27" spans="1:11">
      <c r="A27" s="450"/>
      <c r="B27" s="212">
        <v>530002</v>
      </c>
      <c r="C27" s="107" t="s">
        <v>71</v>
      </c>
      <c r="D27" s="65" t="s">
        <v>46</v>
      </c>
      <c r="E27" s="51">
        <v>372</v>
      </c>
      <c r="F27" s="130">
        <v>94116</v>
      </c>
      <c r="G27" s="51">
        <v>372</v>
      </c>
      <c r="H27" s="173">
        <v>94116</v>
      </c>
    </row>
    <row r="28" spans="1:11">
      <c r="A28" s="450"/>
      <c r="B28" s="212">
        <v>530002</v>
      </c>
      <c r="C28" s="107" t="s">
        <v>72</v>
      </c>
      <c r="D28" s="65" t="s">
        <v>11</v>
      </c>
      <c r="E28" s="51">
        <v>60</v>
      </c>
      <c r="F28" s="130">
        <v>29280</v>
      </c>
      <c r="G28" s="51">
        <v>60</v>
      </c>
      <c r="H28" s="173">
        <v>29280</v>
      </c>
    </row>
    <row r="29" spans="1:11">
      <c r="A29" s="450"/>
      <c r="B29" s="212">
        <v>530002</v>
      </c>
      <c r="C29" s="107" t="s">
        <v>54</v>
      </c>
      <c r="D29" s="65" t="s">
        <v>12</v>
      </c>
      <c r="E29" s="51">
        <v>105</v>
      </c>
      <c r="F29" s="130">
        <v>29505</v>
      </c>
      <c r="G29" s="51">
        <v>105</v>
      </c>
      <c r="H29" s="173">
        <v>29505</v>
      </c>
    </row>
    <row r="30" spans="1:11">
      <c r="A30" s="450"/>
      <c r="B30" s="212">
        <v>530002</v>
      </c>
      <c r="C30" s="107" t="s">
        <v>56</v>
      </c>
      <c r="D30" s="65" t="s">
        <v>57</v>
      </c>
      <c r="E30" s="51">
        <v>45</v>
      </c>
      <c r="F30" s="130">
        <v>11385</v>
      </c>
      <c r="G30" s="51">
        <v>45</v>
      </c>
      <c r="H30" s="173">
        <v>11385</v>
      </c>
    </row>
    <row r="31" spans="1:11">
      <c r="A31" s="450"/>
      <c r="B31" s="212">
        <v>530002</v>
      </c>
      <c r="C31" s="107" t="s">
        <v>58</v>
      </c>
      <c r="D31" s="65" t="s">
        <v>27</v>
      </c>
      <c r="E31" s="51">
        <v>235</v>
      </c>
      <c r="F31" s="130">
        <v>39715</v>
      </c>
      <c r="G31" s="51">
        <v>235</v>
      </c>
      <c r="H31" s="173">
        <v>39715</v>
      </c>
    </row>
    <row r="32" spans="1:11">
      <c r="A32" s="450"/>
      <c r="B32" s="212">
        <v>530002</v>
      </c>
      <c r="C32" s="107" t="s">
        <v>73</v>
      </c>
      <c r="D32" s="65" t="s">
        <v>13</v>
      </c>
      <c r="E32" s="51">
        <v>1810</v>
      </c>
      <c r="F32" s="130">
        <v>647980</v>
      </c>
      <c r="G32" s="51">
        <v>1810</v>
      </c>
      <c r="H32" s="173">
        <v>647980</v>
      </c>
    </row>
    <row r="33" spans="1:8">
      <c r="A33" s="450"/>
      <c r="B33" s="212">
        <v>530002</v>
      </c>
      <c r="C33" s="107" t="s">
        <v>59</v>
      </c>
      <c r="D33" s="65" t="s">
        <v>7</v>
      </c>
      <c r="E33" s="51">
        <v>30</v>
      </c>
      <c r="F33" s="130">
        <v>7590</v>
      </c>
      <c r="G33" s="51">
        <v>30</v>
      </c>
      <c r="H33" s="173">
        <v>7590</v>
      </c>
    </row>
    <row r="34" spans="1:8">
      <c r="A34" s="450"/>
      <c r="B34" s="212">
        <v>530002</v>
      </c>
      <c r="C34" s="107" t="s">
        <v>60</v>
      </c>
      <c r="D34" s="65" t="s">
        <v>8</v>
      </c>
      <c r="E34" s="51">
        <v>0</v>
      </c>
      <c r="F34" s="130">
        <v>0</v>
      </c>
      <c r="G34" s="51">
        <v>0</v>
      </c>
      <c r="H34" s="173">
        <v>-9187</v>
      </c>
    </row>
    <row r="35" spans="1:8">
      <c r="A35" s="450"/>
      <c r="B35" s="212">
        <v>530002</v>
      </c>
      <c r="C35" s="107" t="s">
        <v>62</v>
      </c>
      <c r="D35" s="65" t="s">
        <v>14</v>
      </c>
      <c r="E35" s="51">
        <v>440</v>
      </c>
      <c r="F35" s="130">
        <v>111320</v>
      </c>
      <c r="G35" s="51">
        <v>440</v>
      </c>
      <c r="H35" s="173">
        <v>111320</v>
      </c>
    </row>
    <row r="36" spans="1:8" ht="59.25" customHeight="1">
      <c r="A36" s="450"/>
      <c r="B36" s="212">
        <v>530002</v>
      </c>
      <c r="C36" s="107" t="s">
        <v>66</v>
      </c>
      <c r="D36" s="65" t="s">
        <v>168</v>
      </c>
      <c r="E36" s="51">
        <v>7</v>
      </c>
      <c r="F36" s="130">
        <v>2317</v>
      </c>
      <c r="G36" s="51">
        <v>7</v>
      </c>
      <c r="H36" s="173">
        <v>2317</v>
      </c>
    </row>
    <row r="37" spans="1:8" ht="37.5">
      <c r="A37" s="450"/>
      <c r="B37" s="213">
        <v>530002</v>
      </c>
      <c r="C37" s="107" t="s">
        <v>67</v>
      </c>
      <c r="D37" s="65" t="s">
        <v>152</v>
      </c>
      <c r="E37" s="51">
        <v>320</v>
      </c>
      <c r="F37" s="130">
        <v>63040</v>
      </c>
      <c r="G37" s="51">
        <v>320</v>
      </c>
      <c r="H37" s="173">
        <v>63040</v>
      </c>
    </row>
    <row r="38" spans="1:8">
      <c r="A38" s="114">
        <v>3</v>
      </c>
      <c r="B38" s="210">
        <v>530011</v>
      </c>
      <c r="C38" s="131" t="s">
        <v>165</v>
      </c>
      <c r="D38" s="127" t="s">
        <v>173</v>
      </c>
      <c r="E38" s="128">
        <f>SUM(E39:E69)</f>
        <v>0</v>
      </c>
      <c r="F38" s="129" t="s">
        <v>174</v>
      </c>
      <c r="G38" s="128">
        <f>SUM(G39:G69)</f>
        <v>61285</v>
      </c>
      <c r="H38" s="172" t="s">
        <v>174</v>
      </c>
    </row>
    <row r="39" spans="1:8">
      <c r="A39" s="467"/>
      <c r="B39" s="112">
        <v>530011</v>
      </c>
      <c r="C39" s="107">
        <v>3</v>
      </c>
      <c r="D39" s="65" t="s">
        <v>77</v>
      </c>
      <c r="E39" s="51">
        <v>0</v>
      </c>
      <c r="F39" s="130" t="s">
        <v>174</v>
      </c>
      <c r="G39" s="51">
        <v>112</v>
      </c>
      <c r="H39" s="173" t="s">
        <v>174</v>
      </c>
    </row>
    <row r="40" spans="1:8">
      <c r="A40" s="468"/>
      <c r="B40" s="212">
        <v>530011</v>
      </c>
      <c r="C40" s="107" t="s">
        <v>48</v>
      </c>
      <c r="D40" s="65" t="s">
        <v>9</v>
      </c>
      <c r="E40" s="51">
        <v>-31</v>
      </c>
      <c r="F40" s="130" t="s">
        <v>174</v>
      </c>
      <c r="G40" s="51">
        <v>-13</v>
      </c>
      <c r="H40" s="173" t="s">
        <v>174</v>
      </c>
    </row>
    <row r="41" spans="1:8">
      <c r="A41" s="468"/>
      <c r="B41" s="212">
        <v>530011</v>
      </c>
      <c r="C41" s="107" t="s">
        <v>49</v>
      </c>
      <c r="D41" s="65" t="s">
        <v>4</v>
      </c>
      <c r="E41" s="51">
        <v>-266</v>
      </c>
      <c r="F41" s="130" t="s">
        <v>174</v>
      </c>
      <c r="G41" s="51">
        <v>546</v>
      </c>
      <c r="H41" s="173" t="s">
        <v>174</v>
      </c>
    </row>
    <row r="42" spans="1:8">
      <c r="A42" s="468"/>
      <c r="B42" s="212">
        <v>530011</v>
      </c>
      <c r="C42" s="69">
        <v>14</v>
      </c>
      <c r="D42" s="386" t="s">
        <v>47</v>
      </c>
      <c r="E42" s="51">
        <v>0</v>
      </c>
      <c r="F42" s="130" t="s">
        <v>174</v>
      </c>
      <c r="G42" s="51">
        <v>140</v>
      </c>
      <c r="H42" s="173" t="s">
        <v>174</v>
      </c>
    </row>
    <row r="43" spans="1:8">
      <c r="A43" s="468"/>
      <c r="B43" s="212">
        <v>530011</v>
      </c>
      <c r="C43" s="107">
        <v>17</v>
      </c>
      <c r="D43" s="65" t="s">
        <v>10</v>
      </c>
      <c r="E43" s="51">
        <v>-200</v>
      </c>
      <c r="F43" s="130" t="s">
        <v>174</v>
      </c>
      <c r="G43" s="51">
        <v>966</v>
      </c>
      <c r="H43" s="173" t="s">
        <v>174</v>
      </c>
    </row>
    <row r="44" spans="1:8">
      <c r="A44" s="468"/>
      <c r="B44" s="212">
        <v>530011</v>
      </c>
      <c r="C44" s="107" t="s">
        <v>70</v>
      </c>
      <c r="D44" s="35" t="s">
        <v>45</v>
      </c>
      <c r="E44" s="51">
        <v>0</v>
      </c>
      <c r="F44" s="130" t="s">
        <v>174</v>
      </c>
      <c r="G44" s="51">
        <v>130</v>
      </c>
      <c r="H44" s="173" t="s">
        <v>174</v>
      </c>
    </row>
    <row r="45" spans="1:8">
      <c r="A45" s="468"/>
      <c r="B45" s="212">
        <v>530011</v>
      </c>
      <c r="C45" s="107" t="s">
        <v>71</v>
      </c>
      <c r="D45" s="65" t="s">
        <v>46</v>
      </c>
      <c r="E45" s="51">
        <v>-770</v>
      </c>
      <c r="F45" s="130" t="s">
        <v>174</v>
      </c>
      <c r="G45" s="51">
        <v>912</v>
      </c>
      <c r="H45" s="173" t="s">
        <v>174</v>
      </c>
    </row>
    <row r="46" spans="1:8">
      <c r="A46" s="468"/>
      <c r="B46" s="212">
        <v>530011</v>
      </c>
      <c r="C46" s="107" t="s">
        <v>72</v>
      </c>
      <c r="D46" s="65" t="s">
        <v>11</v>
      </c>
      <c r="E46" s="51">
        <v>-237</v>
      </c>
      <c r="F46" s="130" t="s">
        <v>174</v>
      </c>
      <c r="G46" s="51">
        <v>999</v>
      </c>
      <c r="H46" s="173" t="s">
        <v>174</v>
      </c>
    </row>
    <row r="47" spans="1:8">
      <c r="A47" s="468"/>
      <c r="B47" s="212">
        <v>530011</v>
      </c>
      <c r="C47" s="107" t="s">
        <v>87</v>
      </c>
      <c r="D47" s="65" t="s">
        <v>21</v>
      </c>
      <c r="E47" s="51">
        <v>-76</v>
      </c>
      <c r="F47" s="130" t="s">
        <v>174</v>
      </c>
      <c r="G47" s="51">
        <v>230</v>
      </c>
      <c r="H47" s="173" t="s">
        <v>174</v>
      </c>
    </row>
    <row r="48" spans="1:8">
      <c r="A48" s="468"/>
      <c r="B48" s="212">
        <v>530011</v>
      </c>
      <c r="C48" s="107" t="s">
        <v>52</v>
      </c>
      <c r="D48" s="65" t="s">
        <v>6</v>
      </c>
      <c r="E48" s="51">
        <v>804</v>
      </c>
      <c r="F48" s="130" t="s">
        <v>174</v>
      </c>
      <c r="G48" s="51">
        <v>1538</v>
      </c>
      <c r="H48" s="173" t="s">
        <v>174</v>
      </c>
    </row>
    <row r="49" spans="1:8">
      <c r="A49" s="468"/>
      <c r="B49" s="212">
        <v>530011</v>
      </c>
      <c r="C49" s="381" t="s">
        <v>88</v>
      </c>
      <c r="D49" s="388" t="s">
        <v>89</v>
      </c>
      <c r="E49" s="51">
        <v>0</v>
      </c>
      <c r="F49" s="130"/>
      <c r="G49" s="51">
        <v>15731</v>
      </c>
      <c r="H49" s="173"/>
    </row>
    <row r="50" spans="1:8">
      <c r="A50" s="468"/>
      <c r="B50" s="212">
        <v>530011</v>
      </c>
      <c r="C50" s="83" t="s">
        <v>54</v>
      </c>
      <c r="D50" s="65" t="s">
        <v>12</v>
      </c>
      <c r="E50" s="51">
        <v>-804</v>
      </c>
      <c r="F50" s="130" t="s">
        <v>174</v>
      </c>
      <c r="G50" s="51">
        <v>3006</v>
      </c>
      <c r="H50" s="173" t="s">
        <v>174</v>
      </c>
    </row>
    <row r="51" spans="1:8" ht="37.5">
      <c r="A51" s="468"/>
      <c r="B51" s="212">
        <v>530011</v>
      </c>
      <c r="C51" s="107" t="s">
        <v>91</v>
      </c>
      <c r="D51" s="65" t="s">
        <v>15</v>
      </c>
      <c r="E51" s="51">
        <v>300</v>
      </c>
      <c r="F51" s="130" t="s">
        <v>174</v>
      </c>
      <c r="G51" s="51">
        <v>1297</v>
      </c>
      <c r="H51" s="173" t="s">
        <v>174</v>
      </c>
    </row>
    <row r="52" spans="1:8">
      <c r="A52" s="468"/>
      <c r="B52" s="212">
        <v>530011</v>
      </c>
      <c r="C52" s="107">
        <v>60</v>
      </c>
      <c r="D52" s="65" t="s">
        <v>24</v>
      </c>
      <c r="E52" s="51">
        <v>0</v>
      </c>
      <c r="F52" s="130"/>
      <c r="G52" s="51">
        <v>92</v>
      </c>
      <c r="H52" s="173"/>
    </row>
    <row r="53" spans="1:8">
      <c r="A53" s="468"/>
      <c r="B53" s="212">
        <v>530011</v>
      </c>
      <c r="C53" s="107" t="s">
        <v>58</v>
      </c>
      <c r="D53" s="65" t="s">
        <v>27</v>
      </c>
      <c r="E53" s="51">
        <v>-985</v>
      </c>
      <c r="F53" s="130" t="s">
        <v>174</v>
      </c>
      <c r="G53" s="51">
        <v>2529</v>
      </c>
      <c r="H53" s="173" t="s">
        <v>174</v>
      </c>
    </row>
    <row r="54" spans="1:8">
      <c r="A54" s="468"/>
      <c r="B54" s="212">
        <v>530011</v>
      </c>
      <c r="C54" s="107" t="s">
        <v>73</v>
      </c>
      <c r="D54" s="65" t="s">
        <v>13</v>
      </c>
      <c r="E54" s="51">
        <v>0</v>
      </c>
      <c r="F54" s="130"/>
      <c r="G54" s="51">
        <v>10756</v>
      </c>
      <c r="H54" s="173"/>
    </row>
    <row r="55" spans="1:8">
      <c r="A55" s="468"/>
      <c r="B55" s="212">
        <v>530011</v>
      </c>
      <c r="C55" s="107" t="s">
        <v>59</v>
      </c>
      <c r="D55" s="65" t="s">
        <v>7</v>
      </c>
      <c r="E55" s="51">
        <v>0</v>
      </c>
      <c r="F55" s="130"/>
      <c r="G55" s="51">
        <v>74</v>
      </c>
      <c r="H55" s="173"/>
    </row>
    <row r="56" spans="1:8">
      <c r="A56" s="468"/>
      <c r="B56" s="212">
        <v>530011</v>
      </c>
      <c r="C56" s="107" t="s">
        <v>60</v>
      </c>
      <c r="D56" s="65" t="s">
        <v>8</v>
      </c>
      <c r="E56" s="51">
        <v>-100</v>
      </c>
      <c r="F56" s="130" t="s">
        <v>174</v>
      </c>
      <c r="G56" s="51">
        <v>470</v>
      </c>
      <c r="H56" s="173" t="s">
        <v>174</v>
      </c>
    </row>
    <row r="57" spans="1:8">
      <c r="A57" s="468"/>
      <c r="B57" s="212">
        <v>530011</v>
      </c>
      <c r="C57" s="107" t="s">
        <v>84</v>
      </c>
      <c r="D57" s="65" t="s">
        <v>85</v>
      </c>
      <c r="E57" s="51">
        <v>1274</v>
      </c>
      <c r="F57" s="130" t="s">
        <v>174</v>
      </c>
      <c r="G57" s="51">
        <v>1919</v>
      </c>
      <c r="H57" s="173" t="s">
        <v>174</v>
      </c>
    </row>
    <row r="58" spans="1:8">
      <c r="A58" s="468"/>
      <c r="B58" s="212">
        <v>530011</v>
      </c>
      <c r="C58" s="107" t="s">
        <v>74</v>
      </c>
      <c r="D58" s="65" t="s">
        <v>75</v>
      </c>
      <c r="E58" s="51">
        <v>376</v>
      </c>
      <c r="F58" s="130" t="s">
        <v>174</v>
      </c>
      <c r="G58" s="51">
        <v>472</v>
      </c>
      <c r="H58" s="173" t="s">
        <v>174</v>
      </c>
    </row>
    <row r="59" spans="1:8">
      <c r="A59" s="468"/>
      <c r="B59" s="212">
        <v>530011</v>
      </c>
      <c r="C59" s="107" t="s">
        <v>82</v>
      </c>
      <c r="D59" s="65" t="s">
        <v>83</v>
      </c>
      <c r="E59" s="51">
        <v>300</v>
      </c>
      <c r="F59" s="130" t="s">
        <v>174</v>
      </c>
      <c r="G59" s="51">
        <v>221</v>
      </c>
      <c r="H59" s="173" t="s">
        <v>174</v>
      </c>
    </row>
    <row r="60" spans="1:8">
      <c r="A60" s="468"/>
      <c r="B60" s="212">
        <v>530011</v>
      </c>
      <c r="C60" s="107">
        <v>96</v>
      </c>
      <c r="D60" s="65" t="s">
        <v>76</v>
      </c>
      <c r="E60" s="51">
        <v>-7</v>
      </c>
      <c r="F60" s="130" t="s">
        <v>174</v>
      </c>
      <c r="G60" s="51">
        <v>553</v>
      </c>
      <c r="H60" s="173" t="s">
        <v>174</v>
      </c>
    </row>
    <row r="61" spans="1:8">
      <c r="A61" s="468"/>
      <c r="B61" s="212">
        <v>530011</v>
      </c>
      <c r="C61" s="107" t="s">
        <v>61</v>
      </c>
      <c r="D61" s="65" t="s">
        <v>16</v>
      </c>
      <c r="E61" s="51">
        <v>768</v>
      </c>
      <c r="F61" s="130" t="s">
        <v>174</v>
      </c>
      <c r="G61" s="51">
        <v>-3</v>
      </c>
      <c r="H61" s="173" t="s">
        <v>174</v>
      </c>
    </row>
    <row r="62" spans="1:8">
      <c r="A62" s="468"/>
      <c r="B62" s="212">
        <v>530011</v>
      </c>
      <c r="C62" s="107" t="s">
        <v>63</v>
      </c>
      <c r="D62" s="65" t="s">
        <v>41</v>
      </c>
      <c r="E62" s="51">
        <v>-100</v>
      </c>
      <c r="F62" s="130" t="s">
        <v>174</v>
      </c>
      <c r="G62" s="51">
        <v>11699</v>
      </c>
      <c r="H62" s="173" t="s">
        <v>174</v>
      </c>
    </row>
    <row r="63" spans="1:8">
      <c r="A63" s="468"/>
      <c r="B63" s="212">
        <v>530011</v>
      </c>
      <c r="C63" s="107" t="s">
        <v>62</v>
      </c>
      <c r="D63" s="65" t="s">
        <v>14</v>
      </c>
      <c r="E63" s="51">
        <v>0</v>
      </c>
      <c r="F63" s="130"/>
      <c r="G63" s="51">
        <v>1447</v>
      </c>
      <c r="H63" s="173"/>
    </row>
    <row r="64" spans="1:8">
      <c r="A64" s="468"/>
      <c r="B64" s="212">
        <v>530011</v>
      </c>
      <c r="C64" s="107" t="s">
        <v>63</v>
      </c>
      <c r="D64" s="65" t="s">
        <v>41</v>
      </c>
      <c r="E64" s="51">
        <v>0</v>
      </c>
      <c r="F64" s="130"/>
      <c r="G64" s="51">
        <v>459</v>
      </c>
      <c r="H64" s="173"/>
    </row>
    <row r="65" spans="1:11">
      <c r="A65" s="468"/>
      <c r="B65" s="212">
        <v>530011</v>
      </c>
      <c r="C65" s="107" t="s">
        <v>64</v>
      </c>
      <c r="D65" s="65" t="s">
        <v>17</v>
      </c>
      <c r="E65" s="51">
        <v>100</v>
      </c>
      <c r="F65" s="130" t="s">
        <v>174</v>
      </c>
      <c r="G65" s="51">
        <v>1407</v>
      </c>
      <c r="H65" s="173" t="s">
        <v>174</v>
      </c>
    </row>
    <row r="66" spans="1:11">
      <c r="A66" s="468"/>
      <c r="B66" s="212">
        <v>530011</v>
      </c>
      <c r="C66" s="107" t="s">
        <v>65</v>
      </c>
      <c r="D66" s="65" t="s">
        <v>32</v>
      </c>
      <c r="E66" s="51">
        <v>0</v>
      </c>
      <c r="F66" s="130"/>
      <c r="G66" s="51">
        <v>145</v>
      </c>
      <c r="H66" s="173"/>
    </row>
    <row r="67" spans="1:11">
      <c r="A67" s="468"/>
      <c r="B67" s="212">
        <v>530011</v>
      </c>
      <c r="C67" s="107" t="s">
        <v>66</v>
      </c>
      <c r="D67" s="65" t="s">
        <v>18</v>
      </c>
      <c r="E67" s="51">
        <v>-100</v>
      </c>
      <c r="F67" s="130" t="s">
        <v>174</v>
      </c>
      <c r="G67" s="51">
        <v>322</v>
      </c>
      <c r="H67" s="173" t="s">
        <v>174</v>
      </c>
    </row>
    <row r="68" spans="1:11" ht="37.5">
      <c r="A68" s="468"/>
      <c r="B68" s="212">
        <v>530011</v>
      </c>
      <c r="C68" s="107" t="s">
        <v>67</v>
      </c>
      <c r="D68" s="65" t="s">
        <v>152</v>
      </c>
      <c r="E68" s="51">
        <v>-1068</v>
      </c>
      <c r="F68" s="130" t="s">
        <v>174</v>
      </c>
      <c r="G68" s="51">
        <v>1523</v>
      </c>
      <c r="H68" s="173" t="s">
        <v>174</v>
      </c>
    </row>
    <row r="69" spans="1:11">
      <c r="A69" s="469"/>
      <c r="B69" s="213">
        <v>530011</v>
      </c>
      <c r="C69" s="107" t="s">
        <v>78</v>
      </c>
      <c r="D69" s="65" t="s">
        <v>79</v>
      </c>
      <c r="E69" s="51">
        <v>822</v>
      </c>
      <c r="F69" s="130" t="s">
        <v>174</v>
      </c>
      <c r="G69" s="51">
        <v>1606</v>
      </c>
      <c r="H69" s="173" t="s">
        <v>174</v>
      </c>
    </row>
    <row r="70" spans="1:11" ht="37.5">
      <c r="A70" s="114">
        <v>4</v>
      </c>
      <c r="B70" s="214">
        <v>530017</v>
      </c>
      <c r="C70" s="50" t="s">
        <v>165</v>
      </c>
      <c r="D70" s="127" t="s">
        <v>170</v>
      </c>
      <c r="E70" s="128">
        <f>SUM(E71:E72)</f>
        <v>0</v>
      </c>
      <c r="F70" s="129">
        <f t="shared" ref="F70:H70" si="2">SUM(F71:F72)</f>
        <v>0</v>
      </c>
      <c r="G70" s="128">
        <f t="shared" si="2"/>
        <v>-3052</v>
      </c>
      <c r="H70" s="172">
        <f t="shared" si="2"/>
        <v>-1003367.9600000001</v>
      </c>
    </row>
    <row r="71" spans="1:11">
      <c r="A71" s="451"/>
      <c r="B71" s="112">
        <v>530017</v>
      </c>
      <c r="C71" s="107" t="s">
        <v>61</v>
      </c>
      <c r="D71" s="65" t="s">
        <v>16</v>
      </c>
      <c r="E71" s="51">
        <v>0</v>
      </c>
      <c r="F71" s="130">
        <v>0</v>
      </c>
      <c r="G71" s="51">
        <v>-75</v>
      </c>
      <c r="H71" s="173">
        <v>-17774.29</v>
      </c>
      <c r="J71" s="296"/>
      <c r="K71" s="296"/>
    </row>
    <row r="72" spans="1:11" ht="52.5" customHeight="1">
      <c r="A72" s="452"/>
      <c r="B72" s="213">
        <v>530017</v>
      </c>
      <c r="C72" s="107" t="s">
        <v>66</v>
      </c>
      <c r="D72" s="65" t="s">
        <v>168</v>
      </c>
      <c r="E72" s="51">
        <v>0</v>
      </c>
      <c r="F72" s="130">
        <v>0</v>
      </c>
      <c r="G72" s="51">
        <v>-2977</v>
      </c>
      <c r="H72" s="173">
        <v>-985593.67</v>
      </c>
      <c r="J72" s="288"/>
      <c r="K72" s="297"/>
    </row>
    <row r="73" spans="1:11" ht="37.5">
      <c r="A73" s="114">
        <v>5</v>
      </c>
      <c r="B73" s="214">
        <v>530019</v>
      </c>
      <c r="C73" s="50" t="s">
        <v>165</v>
      </c>
      <c r="D73" s="127" t="s">
        <v>171</v>
      </c>
      <c r="E73" s="128">
        <f>SUM(E74:E75)</f>
        <v>0</v>
      </c>
      <c r="F73" s="129">
        <f t="shared" ref="F73:H73" si="3">SUM(F74:F75)</f>
        <v>0</v>
      </c>
      <c r="G73" s="128">
        <f t="shared" si="3"/>
        <v>-226</v>
      </c>
      <c r="H73" s="172">
        <f t="shared" si="3"/>
        <v>-138691.20000000001</v>
      </c>
    </row>
    <row r="74" spans="1:11">
      <c r="A74" s="451"/>
      <c r="B74" s="112">
        <v>530019</v>
      </c>
      <c r="C74" s="107" t="s">
        <v>82</v>
      </c>
      <c r="D74" s="65" t="s">
        <v>83</v>
      </c>
      <c r="E74" s="51">
        <v>0</v>
      </c>
      <c r="F74" s="130">
        <v>0</v>
      </c>
      <c r="G74" s="51">
        <v>-174</v>
      </c>
      <c r="H74" s="173">
        <v>-102081.2</v>
      </c>
      <c r="K74" s="296"/>
    </row>
    <row r="75" spans="1:11">
      <c r="A75" s="450"/>
      <c r="B75" s="213">
        <v>530019</v>
      </c>
      <c r="C75" s="107" t="s">
        <v>78</v>
      </c>
      <c r="D75" s="65" t="s">
        <v>79</v>
      </c>
      <c r="E75" s="51">
        <v>0</v>
      </c>
      <c r="F75" s="130">
        <v>0</v>
      </c>
      <c r="G75" s="51">
        <v>-52</v>
      </c>
      <c r="H75" s="173">
        <v>-36610</v>
      </c>
      <c r="K75" s="296"/>
    </row>
    <row r="76" spans="1:11">
      <c r="A76" s="114">
        <v>6</v>
      </c>
      <c r="B76" s="214">
        <v>530023</v>
      </c>
      <c r="C76" s="50" t="s">
        <v>165</v>
      </c>
      <c r="D76" s="127" t="s">
        <v>255</v>
      </c>
      <c r="E76" s="128">
        <f>SUM(E77:E86)</f>
        <v>0</v>
      </c>
      <c r="F76" s="129" t="s">
        <v>174</v>
      </c>
      <c r="G76" s="128">
        <f>SUM(G77:G86)</f>
        <v>4003</v>
      </c>
      <c r="H76" s="172" t="s">
        <v>174</v>
      </c>
      <c r="K76" s="296"/>
    </row>
    <row r="77" spans="1:11">
      <c r="A77" s="447"/>
      <c r="B77" s="389">
        <v>530023</v>
      </c>
      <c r="C77" s="390">
        <v>3</v>
      </c>
      <c r="D77" s="391" t="s">
        <v>77</v>
      </c>
      <c r="E77" s="51">
        <v>0</v>
      </c>
      <c r="F77" s="130" t="s">
        <v>174</v>
      </c>
      <c r="G77" s="402">
        <v>148</v>
      </c>
      <c r="H77" s="173" t="s">
        <v>174</v>
      </c>
      <c r="K77" s="296"/>
    </row>
    <row r="78" spans="1:11">
      <c r="A78" s="448"/>
      <c r="B78" s="392">
        <v>530023</v>
      </c>
      <c r="C78" s="393" t="s">
        <v>88</v>
      </c>
      <c r="D78" s="394" t="s">
        <v>89</v>
      </c>
      <c r="E78" s="51">
        <v>0</v>
      </c>
      <c r="F78" s="130" t="s">
        <v>174</v>
      </c>
      <c r="G78" s="402">
        <f>2064+295</f>
        <v>2359</v>
      </c>
      <c r="H78" s="173" t="s">
        <v>174</v>
      </c>
      <c r="K78" s="296"/>
    </row>
    <row r="79" spans="1:11" ht="37.5">
      <c r="A79" s="448"/>
      <c r="B79" s="392">
        <v>530023</v>
      </c>
      <c r="C79" s="393" t="s">
        <v>91</v>
      </c>
      <c r="D79" s="395" t="s">
        <v>15</v>
      </c>
      <c r="E79" s="51">
        <v>0</v>
      </c>
      <c r="F79" s="130" t="s">
        <v>174</v>
      </c>
      <c r="G79" s="402">
        <v>341</v>
      </c>
      <c r="H79" s="173" t="s">
        <v>174</v>
      </c>
      <c r="K79" s="296"/>
    </row>
    <row r="80" spans="1:11" ht="18" customHeight="1">
      <c r="A80" s="448"/>
      <c r="B80" s="392">
        <v>530023</v>
      </c>
      <c r="C80" s="393" t="s">
        <v>86</v>
      </c>
      <c r="D80" s="394" t="s">
        <v>24</v>
      </c>
      <c r="E80" s="51">
        <v>0</v>
      </c>
      <c r="F80" s="130" t="s">
        <v>174</v>
      </c>
      <c r="G80" s="402">
        <v>69</v>
      </c>
      <c r="H80" s="173" t="s">
        <v>174</v>
      </c>
      <c r="K80" s="296"/>
    </row>
    <row r="81" spans="1:11" ht="18" customHeight="1">
      <c r="A81" s="448"/>
      <c r="B81" s="392">
        <v>530023</v>
      </c>
      <c r="C81" s="393" t="s">
        <v>58</v>
      </c>
      <c r="D81" s="396" t="s">
        <v>27</v>
      </c>
      <c r="E81" s="51">
        <v>0</v>
      </c>
      <c r="F81" s="130" t="s">
        <v>174</v>
      </c>
      <c r="G81" s="402">
        <v>97</v>
      </c>
      <c r="H81" s="173" t="s">
        <v>174</v>
      </c>
      <c r="K81" s="296"/>
    </row>
    <row r="82" spans="1:11" ht="18" customHeight="1">
      <c r="A82" s="448"/>
      <c r="B82" s="392">
        <v>530023</v>
      </c>
      <c r="C82" s="393" t="s">
        <v>73</v>
      </c>
      <c r="D82" s="396" t="s">
        <v>13</v>
      </c>
      <c r="E82" s="51">
        <v>0</v>
      </c>
      <c r="F82" s="130" t="s">
        <v>174</v>
      </c>
      <c r="G82" s="402">
        <v>12</v>
      </c>
      <c r="H82" s="173" t="s">
        <v>174</v>
      </c>
      <c r="K82" s="296"/>
    </row>
    <row r="83" spans="1:11" ht="18" customHeight="1">
      <c r="A83" s="448"/>
      <c r="B83" s="392">
        <v>530023</v>
      </c>
      <c r="C83" s="397" t="s">
        <v>84</v>
      </c>
      <c r="D83" s="398" t="s">
        <v>85</v>
      </c>
      <c r="E83" s="51">
        <v>0</v>
      </c>
      <c r="F83" s="130" t="s">
        <v>174</v>
      </c>
      <c r="G83" s="402">
        <v>176</v>
      </c>
      <c r="H83" s="173" t="s">
        <v>174</v>
      </c>
      <c r="K83" s="296"/>
    </row>
    <row r="84" spans="1:11">
      <c r="A84" s="448"/>
      <c r="B84" s="392">
        <v>530023</v>
      </c>
      <c r="C84" s="397">
        <v>89</v>
      </c>
      <c r="D84" s="398" t="s">
        <v>81</v>
      </c>
      <c r="E84" s="51">
        <v>0</v>
      </c>
      <c r="F84" s="130" t="s">
        <v>174</v>
      </c>
      <c r="G84" s="402">
        <v>17</v>
      </c>
      <c r="H84" s="173" t="s">
        <v>174</v>
      </c>
      <c r="K84" s="296"/>
    </row>
    <row r="85" spans="1:11">
      <c r="A85" s="448"/>
      <c r="B85" s="392">
        <v>530023</v>
      </c>
      <c r="C85" s="393" t="s">
        <v>61</v>
      </c>
      <c r="D85" s="399" t="s">
        <v>16</v>
      </c>
      <c r="E85" s="51">
        <v>0</v>
      </c>
      <c r="F85" s="130" t="s">
        <v>174</v>
      </c>
      <c r="G85" s="402">
        <v>581</v>
      </c>
      <c r="H85" s="173" t="s">
        <v>174</v>
      </c>
      <c r="K85" s="296"/>
    </row>
    <row r="86" spans="1:11">
      <c r="A86" s="449"/>
      <c r="B86" s="400">
        <v>530023</v>
      </c>
      <c r="C86" s="393" t="s">
        <v>66</v>
      </c>
      <c r="D86" s="401" t="s">
        <v>18</v>
      </c>
      <c r="E86" s="51">
        <v>0</v>
      </c>
      <c r="F86" s="130" t="s">
        <v>174</v>
      </c>
      <c r="G86" s="402">
        <v>203</v>
      </c>
      <c r="H86" s="173" t="s">
        <v>174</v>
      </c>
      <c r="K86" s="296"/>
    </row>
    <row r="87" spans="1:11">
      <c r="A87" s="114">
        <v>7</v>
      </c>
      <c r="B87" s="214">
        <v>530024</v>
      </c>
      <c r="C87" s="131" t="s">
        <v>165</v>
      </c>
      <c r="D87" s="127" t="s">
        <v>175</v>
      </c>
      <c r="E87" s="128">
        <f>SUM(E88:E94)</f>
        <v>969</v>
      </c>
      <c r="F87" s="129" t="s">
        <v>174</v>
      </c>
      <c r="G87" s="128">
        <f>SUM(G88:G94)</f>
        <v>2420</v>
      </c>
      <c r="H87" s="172" t="s">
        <v>174</v>
      </c>
    </row>
    <row r="88" spans="1:11">
      <c r="A88" s="447"/>
      <c r="B88" s="112">
        <v>530024</v>
      </c>
      <c r="C88" s="107">
        <v>3</v>
      </c>
      <c r="D88" s="65" t="s">
        <v>77</v>
      </c>
      <c r="E88" s="51">
        <v>35</v>
      </c>
      <c r="F88" s="130" t="s">
        <v>174</v>
      </c>
      <c r="G88" s="51">
        <v>203</v>
      </c>
      <c r="H88" s="173" t="s">
        <v>174</v>
      </c>
    </row>
    <row r="89" spans="1:11">
      <c r="A89" s="448"/>
      <c r="B89" s="212">
        <v>530024</v>
      </c>
      <c r="C89" s="107" t="s">
        <v>88</v>
      </c>
      <c r="D89" s="65" t="s">
        <v>89</v>
      </c>
      <c r="E89" s="51">
        <v>0</v>
      </c>
      <c r="F89" s="130" t="s">
        <v>174</v>
      </c>
      <c r="G89" s="51">
        <v>207</v>
      </c>
      <c r="H89" s="173" t="s">
        <v>174</v>
      </c>
    </row>
    <row r="90" spans="1:11">
      <c r="A90" s="448"/>
      <c r="B90" s="212">
        <v>530024</v>
      </c>
      <c r="C90" s="107" t="s">
        <v>73</v>
      </c>
      <c r="D90" s="65" t="s">
        <v>13</v>
      </c>
      <c r="E90" s="51">
        <v>0</v>
      </c>
      <c r="F90" s="130" t="s">
        <v>174</v>
      </c>
      <c r="G90" s="51">
        <v>197</v>
      </c>
      <c r="H90" s="173" t="s">
        <v>174</v>
      </c>
    </row>
    <row r="91" spans="1:11">
      <c r="A91" s="448"/>
      <c r="B91" s="212">
        <v>530024</v>
      </c>
      <c r="C91" s="107">
        <v>85</v>
      </c>
      <c r="D91" s="65" t="s">
        <v>85</v>
      </c>
      <c r="E91" s="51">
        <v>0</v>
      </c>
      <c r="F91" s="130" t="s">
        <v>174</v>
      </c>
      <c r="G91" s="51">
        <v>0</v>
      </c>
      <c r="H91" s="173" t="s">
        <v>174</v>
      </c>
    </row>
    <row r="92" spans="1:11">
      <c r="A92" s="448"/>
      <c r="B92" s="212">
        <v>530024</v>
      </c>
      <c r="C92" s="107" t="s">
        <v>61</v>
      </c>
      <c r="D92" s="65" t="s">
        <v>16</v>
      </c>
      <c r="E92" s="51">
        <v>804</v>
      </c>
      <c r="F92" s="130" t="s">
        <v>174</v>
      </c>
      <c r="G92" s="51">
        <v>1239</v>
      </c>
      <c r="H92" s="173" t="s">
        <v>174</v>
      </c>
    </row>
    <row r="93" spans="1:11">
      <c r="A93" s="448"/>
      <c r="B93" s="212">
        <v>530024</v>
      </c>
      <c r="C93" s="107" t="s">
        <v>64</v>
      </c>
      <c r="D93" s="65" t="s">
        <v>17</v>
      </c>
      <c r="E93" s="51">
        <v>130</v>
      </c>
      <c r="F93" s="130" t="s">
        <v>174</v>
      </c>
      <c r="G93" s="51">
        <v>218</v>
      </c>
      <c r="H93" s="173" t="s">
        <v>174</v>
      </c>
    </row>
    <row r="94" spans="1:11">
      <c r="A94" s="449"/>
      <c r="B94" s="213">
        <v>530024</v>
      </c>
      <c r="C94" s="107" t="s">
        <v>78</v>
      </c>
      <c r="D94" s="65" t="s">
        <v>79</v>
      </c>
      <c r="E94" s="51">
        <v>0</v>
      </c>
      <c r="F94" s="130" t="s">
        <v>174</v>
      </c>
      <c r="G94" s="51">
        <v>356</v>
      </c>
      <c r="H94" s="173" t="s">
        <v>174</v>
      </c>
    </row>
    <row r="95" spans="1:11">
      <c r="A95" s="114">
        <v>8</v>
      </c>
      <c r="B95" s="214">
        <v>530025</v>
      </c>
      <c r="C95" s="131" t="s">
        <v>165</v>
      </c>
      <c r="D95" s="127" t="s">
        <v>176</v>
      </c>
      <c r="E95" s="128">
        <f>SUM(E96:E104)</f>
        <v>0</v>
      </c>
      <c r="F95" s="129" t="s">
        <v>174</v>
      </c>
      <c r="G95" s="128">
        <f>SUM(G96:G104)</f>
        <v>1307</v>
      </c>
      <c r="H95" s="172" t="s">
        <v>174</v>
      </c>
    </row>
    <row r="96" spans="1:11">
      <c r="A96" s="451"/>
      <c r="B96" s="112">
        <v>530025</v>
      </c>
      <c r="C96" s="107" t="s">
        <v>51</v>
      </c>
      <c r="D96" s="65" t="s">
        <v>154</v>
      </c>
      <c r="E96" s="51">
        <v>0</v>
      </c>
      <c r="F96" s="130" t="s">
        <v>174</v>
      </c>
      <c r="G96" s="51">
        <v>6</v>
      </c>
      <c r="H96" s="173" t="s">
        <v>174</v>
      </c>
    </row>
    <row r="97" spans="1:8">
      <c r="A97" s="450"/>
      <c r="B97" s="212"/>
      <c r="C97" s="107" t="s">
        <v>88</v>
      </c>
      <c r="D97" s="65" t="s">
        <v>89</v>
      </c>
      <c r="E97" s="51">
        <v>0</v>
      </c>
      <c r="F97" s="130" t="s">
        <v>174</v>
      </c>
      <c r="G97" s="51">
        <v>718</v>
      </c>
      <c r="H97" s="173" t="s">
        <v>174</v>
      </c>
    </row>
    <row r="98" spans="1:8">
      <c r="A98" s="450"/>
      <c r="B98" s="212">
        <v>530025</v>
      </c>
      <c r="C98" s="107" t="s">
        <v>58</v>
      </c>
      <c r="D98" s="65" t="s">
        <v>27</v>
      </c>
      <c r="E98" s="51">
        <v>0</v>
      </c>
      <c r="F98" s="130" t="s">
        <v>174</v>
      </c>
      <c r="G98" s="51">
        <v>-25</v>
      </c>
      <c r="H98" s="173" t="s">
        <v>174</v>
      </c>
    </row>
    <row r="99" spans="1:8">
      <c r="A99" s="450"/>
      <c r="B99" s="212">
        <v>530025</v>
      </c>
      <c r="C99" s="107" t="s">
        <v>73</v>
      </c>
      <c r="D99" s="65" t="s">
        <v>13</v>
      </c>
      <c r="E99" s="51">
        <v>0</v>
      </c>
      <c r="F99" s="130" t="s">
        <v>174</v>
      </c>
      <c r="G99" s="51">
        <v>18</v>
      </c>
      <c r="H99" s="173" t="s">
        <v>174</v>
      </c>
    </row>
    <row r="100" spans="1:8">
      <c r="A100" s="450"/>
      <c r="B100" s="212">
        <v>530025</v>
      </c>
      <c r="C100" s="107" t="s">
        <v>84</v>
      </c>
      <c r="D100" s="65" t="s">
        <v>85</v>
      </c>
      <c r="E100" s="51">
        <v>0</v>
      </c>
      <c r="F100" s="130" t="s">
        <v>174</v>
      </c>
      <c r="G100" s="51">
        <v>-22</v>
      </c>
      <c r="H100" s="173" t="s">
        <v>174</v>
      </c>
    </row>
    <row r="101" spans="1:8">
      <c r="A101" s="450"/>
      <c r="B101" s="212"/>
      <c r="C101" s="107" t="s">
        <v>61</v>
      </c>
      <c r="D101" s="65" t="s">
        <v>16</v>
      </c>
      <c r="E101" s="51">
        <v>0</v>
      </c>
      <c r="F101" s="130" t="s">
        <v>174</v>
      </c>
      <c r="G101" s="51">
        <v>285</v>
      </c>
      <c r="H101" s="173" t="s">
        <v>174</v>
      </c>
    </row>
    <row r="102" spans="1:8">
      <c r="A102" s="450"/>
      <c r="B102" s="212"/>
      <c r="C102" s="107" t="s">
        <v>66</v>
      </c>
      <c r="D102" s="65" t="s">
        <v>18</v>
      </c>
      <c r="E102" s="51">
        <v>0</v>
      </c>
      <c r="F102" s="130" t="s">
        <v>174</v>
      </c>
      <c r="G102" s="51">
        <v>315</v>
      </c>
      <c r="H102" s="173" t="s">
        <v>174</v>
      </c>
    </row>
    <row r="103" spans="1:8" ht="37.5">
      <c r="A103" s="450"/>
      <c r="B103" s="212">
        <v>530025</v>
      </c>
      <c r="C103" s="107" t="s">
        <v>67</v>
      </c>
      <c r="D103" s="65" t="s">
        <v>152</v>
      </c>
      <c r="E103" s="51">
        <v>0</v>
      </c>
      <c r="F103" s="130" t="s">
        <v>174</v>
      </c>
      <c r="G103" s="51">
        <v>-8</v>
      </c>
      <c r="H103" s="173" t="s">
        <v>174</v>
      </c>
    </row>
    <row r="104" spans="1:8">
      <c r="A104" s="450"/>
      <c r="B104" s="213">
        <v>530025</v>
      </c>
      <c r="C104" s="107" t="s">
        <v>78</v>
      </c>
      <c r="D104" s="65" t="s">
        <v>79</v>
      </c>
      <c r="E104" s="51">
        <v>0</v>
      </c>
      <c r="F104" s="130" t="s">
        <v>174</v>
      </c>
      <c r="G104" s="51">
        <v>20</v>
      </c>
      <c r="H104" s="173" t="s">
        <v>174</v>
      </c>
    </row>
    <row r="105" spans="1:8">
      <c r="A105" s="114">
        <v>9</v>
      </c>
      <c r="B105" s="214">
        <v>530026</v>
      </c>
      <c r="C105" s="131" t="s">
        <v>165</v>
      </c>
      <c r="D105" s="127" t="s">
        <v>177</v>
      </c>
      <c r="E105" s="128">
        <f>SUM(E106:E116)</f>
        <v>0</v>
      </c>
      <c r="F105" s="129" t="s">
        <v>174</v>
      </c>
      <c r="G105" s="128">
        <f>SUM(G106:G116)</f>
        <v>1671</v>
      </c>
      <c r="H105" s="172" t="s">
        <v>174</v>
      </c>
    </row>
    <row r="106" spans="1:8">
      <c r="A106" s="447"/>
      <c r="B106" s="112">
        <v>530026</v>
      </c>
      <c r="C106" s="107" t="s">
        <v>51</v>
      </c>
      <c r="D106" s="65" t="s">
        <v>154</v>
      </c>
      <c r="E106" s="51">
        <v>17</v>
      </c>
      <c r="F106" s="130" t="s">
        <v>174</v>
      </c>
      <c r="G106" s="51">
        <v>66</v>
      </c>
      <c r="H106" s="173" t="s">
        <v>174</v>
      </c>
    </row>
    <row r="107" spans="1:8">
      <c r="A107" s="448"/>
      <c r="B107" s="212">
        <v>530026</v>
      </c>
      <c r="C107" s="107" t="s">
        <v>52</v>
      </c>
      <c r="D107" s="65" t="s">
        <v>6</v>
      </c>
      <c r="E107" s="51">
        <v>10</v>
      </c>
      <c r="F107" s="130" t="s">
        <v>174</v>
      </c>
      <c r="G107" s="51">
        <v>96</v>
      </c>
      <c r="H107" s="173" t="s">
        <v>174</v>
      </c>
    </row>
    <row r="108" spans="1:8">
      <c r="A108" s="448"/>
      <c r="B108" s="212">
        <v>530026</v>
      </c>
      <c r="C108" s="107" t="s">
        <v>88</v>
      </c>
      <c r="D108" s="65" t="s">
        <v>89</v>
      </c>
      <c r="E108" s="51">
        <v>64</v>
      </c>
      <c r="F108" s="130" t="s">
        <v>174</v>
      </c>
      <c r="G108" s="51">
        <v>477</v>
      </c>
      <c r="H108" s="173" t="s">
        <v>174</v>
      </c>
    </row>
    <row r="109" spans="1:8">
      <c r="A109" s="448"/>
      <c r="B109" s="212">
        <v>530026</v>
      </c>
      <c r="C109" s="107" t="s">
        <v>54</v>
      </c>
      <c r="D109" s="65" t="s">
        <v>12</v>
      </c>
      <c r="E109" s="51">
        <v>-59</v>
      </c>
      <c r="F109" s="130" t="s">
        <v>174</v>
      </c>
      <c r="G109" s="51">
        <v>-31</v>
      </c>
      <c r="H109" s="173" t="s">
        <v>174</v>
      </c>
    </row>
    <row r="110" spans="1:8" ht="37.5">
      <c r="A110" s="448"/>
      <c r="B110" s="212">
        <v>530026</v>
      </c>
      <c r="C110" s="107" t="s">
        <v>91</v>
      </c>
      <c r="D110" s="65" t="s">
        <v>15</v>
      </c>
      <c r="E110" s="51">
        <v>-124</v>
      </c>
      <c r="F110" s="130" t="s">
        <v>174</v>
      </c>
      <c r="G110" s="51">
        <v>117</v>
      </c>
      <c r="H110" s="173" t="s">
        <v>174</v>
      </c>
    </row>
    <row r="111" spans="1:8">
      <c r="A111" s="448"/>
      <c r="B111" s="212">
        <v>530026</v>
      </c>
      <c r="C111" s="107" t="s">
        <v>58</v>
      </c>
      <c r="D111" s="65" t="s">
        <v>27</v>
      </c>
      <c r="E111" s="51">
        <v>-84</v>
      </c>
      <c r="F111" s="130" t="s">
        <v>174</v>
      </c>
      <c r="G111" s="51">
        <v>4</v>
      </c>
      <c r="H111" s="173" t="s">
        <v>174</v>
      </c>
    </row>
    <row r="112" spans="1:8">
      <c r="A112" s="448"/>
      <c r="B112" s="212">
        <v>530026</v>
      </c>
      <c r="C112" s="107" t="s">
        <v>73</v>
      </c>
      <c r="D112" s="65" t="s">
        <v>13</v>
      </c>
      <c r="E112" s="51">
        <v>-190</v>
      </c>
      <c r="F112" s="130" t="s">
        <v>174</v>
      </c>
      <c r="G112" s="51">
        <v>417</v>
      </c>
      <c r="H112" s="173" t="s">
        <v>174</v>
      </c>
    </row>
    <row r="113" spans="1:8">
      <c r="A113" s="448"/>
      <c r="B113" s="212">
        <v>530026</v>
      </c>
      <c r="C113" s="107" t="s">
        <v>61</v>
      </c>
      <c r="D113" s="65" t="s">
        <v>16</v>
      </c>
      <c r="E113" s="51">
        <v>70</v>
      </c>
      <c r="F113" s="130" t="s">
        <v>174</v>
      </c>
      <c r="G113" s="51">
        <v>75</v>
      </c>
      <c r="H113" s="173" t="s">
        <v>174</v>
      </c>
    </row>
    <row r="114" spans="1:8">
      <c r="A114" s="448"/>
      <c r="B114" s="212">
        <v>530026</v>
      </c>
      <c r="C114" s="107" t="s">
        <v>64</v>
      </c>
      <c r="D114" s="65" t="s">
        <v>17</v>
      </c>
      <c r="E114" s="51">
        <v>133</v>
      </c>
      <c r="F114" s="130" t="s">
        <v>174</v>
      </c>
      <c r="G114" s="51">
        <v>218</v>
      </c>
      <c r="H114" s="173" t="s">
        <v>174</v>
      </c>
    </row>
    <row r="115" spans="1:8">
      <c r="A115" s="448"/>
      <c r="B115" s="212">
        <v>530026</v>
      </c>
      <c r="C115" s="107" t="s">
        <v>65</v>
      </c>
      <c r="D115" s="65" t="s">
        <v>32</v>
      </c>
      <c r="E115" s="51">
        <v>163</v>
      </c>
      <c r="F115" s="130" t="s">
        <v>174</v>
      </c>
      <c r="G115" s="51">
        <v>185</v>
      </c>
      <c r="H115" s="173" t="s">
        <v>174</v>
      </c>
    </row>
    <row r="116" spans="1:8">
      <c r="A116" s="449"/>
      <c r="B116" s="212">
        <v>530026</v>
      </c>
      <c r="C116" s="107" t="s">
        <v>66</v>
      </c>
      <c r="D116" s="65" t="s">
        <v>18</v>
      </c>
      <c r="E116" s="51">
        <v>0</v>
      </c>
      <c r="F116" s="130" t="s">
        <v>174</v>
      </c>
      <c r="G116" s="51">
        <v>47</v>
      </c>
      <c r="H116" s="173" t="s">
        <v>174</v>
      </c>
    </row>
    <row r="117" spans="1:8">
      <c r="A117" s="114">
        <v>10</v>
      </c>
      <c r="B117" s="210">
        <v>530027</v>
      </c>
      <c r="C117" s="131" t="s">
        <v>165</v>
      </c>
      <c r="D117" s="127" t="s">
        <v>178</v>
      </c>
      <c r="E117" s="128">
        <f>SUM(E118:E127)</f>
        <v>0</v>
      </c>
      <c r="F117" s="129" t="s">
        <v>174</v>
      </c>
      <c r="G117" s="128">
        <f>SUM(G118:G127)</f>
        <v>378</v>
      </c>
      <c r="H117" s="172" t="s">
        <v>174</v>
      </c>
    </row>
    <row r="118" spans="1:8">
      <c r="A118" s="444"/>
      <c r="B118" s="112">
        <v>530027</v>
      </c>
      <c r="C118" s="403" t="s">
        <v>88</v>
      </c>
      <c r="D118" s="65" t="s">
        <v>89</v>
      </c>
      <c r="E118" s="51">
        <v>0</v>
      </c>
      <c r="F118" s="130" t="s">
        <v>174</v>
      </c>
      <c r="G118" s="51">
        <v>49</v>
      </c>
      <c r="H118" s="173" t="s">
        <v>174</v>
      </c>
    </row>
    <row r="119" spans="1:8">
      <c r="A119" s="445"/>
      <c r="B119" s="212">
        <v>530027</v>
      </c>
      <c r="C119" s="403" t="s">
        <v>54</v>
      </c>
      <c r="D119" s="65" t="s">
        <v>12</v>
      </c>
      <c r="E119" s="51">
        <v>0</v>
      </c>
      <c r="F119" s="130" t="s">
        <v>174</v>
      </c>
      <c r="G119" s="51">
        <v>30</v>
      </c>
      <c r="H119" s="173" t="s">
        <v>174</v>
      </c>
    </row>
    <row r="120" spans="1:8">
      <c r="A120" s="445"/>
      <c r="B120" s="212">
        <v>530027</v>
      </c>
      <c r="C120" s="403" t="s">
        <v>86</v>
      </c>
      <c r="D120" s="65" t="s">
        <v>24</v>
      </c>
      <c r="E120" s="51">
        <v>0</v>
      </c>
      <c r="F120" s="130" t="s">
        <v>174</v>
      </c>
      <c r="G120" s="51">
        <v>9</v>
      </c>
      <c r="H120" s="173" t="s">
        <v>174</v>
      </c>
    </row>
    <row r="121" spans="1:8">
      <c r="A121" s="445"/>
      <c r="B121" s="212">
        <v>530027</v>
      </c>
      <c r="C121" s="403" t="s">
        <v>58</v>
      </c>
      <c r="D121" s="65" t="s">
        <v>27</v>
      </c>
      <c r="E121" s="51">
        <v>0</v>
      </c>
      <c r="F121" s="130" t="s">
        <v>174</v>
      </c>
      <c r="G121" s="51">
        <v>6</v>
      </c>
      <c r="H121" s="173" t="s">
        <v>174</v>
      </c>
    </row>
    <row r="122" spans="1:8">
      <c r="A122" s="445"/>
      <c r="B122" s="212">
        <v>530027</v>
      </c>
      <c r="C122" s="403" t="s">
        <v>73</v>
      </c>
      <c r="D122" s="65" t="s">
        <v>13</v>
      </c>
      <c r="E122" s="51">
        <v>0</v>
      </c>
      <c r="F122" s="130" t="s">
        <v>174</v>
      </c>
      <c r="G122" s="51">
        <v>109</v>
      </c>
      <c r="H122" s="173" t="s">
        <v>174</v>
      </c>
    </row>
    <row r="123" spans="1:8">
      <c r="A123" s="445"/>
      <c r="B123" s="212">
        <v>530027</v>
      </c>
      <c r="C123" s="403" t="s">
        <v>84</v>
      </c>
      <c r="D123" s="65" t="s">
        <v>85</v>
      </c>
      <c r="E123" s="51">
        <v>-30</v>
      </c>
      <c r="F123" s="130" t="s">
        <v>174</v>
      </c>
      <c r="G123" s="51">
        <v>-12</v>
      </c>
      <c r="H123" s="173" t="s">
        <v>174</v>
      </c>
    </row>
    <row r="124" spans="1:8">
      <c r="A124" s="445"/>
      <c r="B124" s="212">
        <v>530027</v>
      </c>
      <c r="C124" s="403">
        <v>89</v>
      </c>
      <c r="D124" s="65" t="s">
        <v>81</v>
      </c>
      <c r="E124" s="51">
        <v>0</v>
      </c>
      <c r="F124" s="130" t="s">
        <v>174</v>
      </c>
      <c r="G124" s="51">
        <v>0</v>
      </c>
      <c r="H124" s="173" t="s">
        <v>174</v>
      </c>
    </row>
    <row r="125" spans="1:8">
      <c r="A125" s="445"/>
      <c r="B125" s="212">
        <v>530027</v>
      </c>
      <c r="C125" s="107" t="s">
        <v>61</v>
      </c>
      <c r="D125" s="65" t="s">
        <v>16</v>
      </c>
      <c r="E125" s="51">
        <v>30</v>
      </c>
      <c r="F125" s="130" t="s">
        <v>174</v>
      </c>
      <c r="G125" s="51">
        <v>140</v>
      </c>
      <c r="H125" s="173" t="s">
        <v>174</v>
      </c>
    </row>
    <row r="126" spans="1:8">
      <c r="A126" s="445"/>
      <c r="B126" s="212">
        <v>530027</v>
      </c>
      <c r="C126" s="107" t="s">
        <v>64</v>
      </c>
      <c r="D126" s="65" t="s">
        <v>17</v>
      </c>
      <c r="E126" s="51">
        <v>0</v>
      </c>
      <c r="F126" s="130" t="s">
        <v>174</v>
      </c>
      <c r="G126" s="51">
        <v>18</v>
      </c>
      <c r="H126" s="173" t="s">
        <v>174</v>
      </c>
    </row>
    <row r="127" spans="1:8">
      <c r="A127" s="446"/>
      <c r="B127" s="213">
        <v>530027</v>
      </c>
      <c r="C127" s="107" t="s">
        <v>66</v>
      </c>
      <c r="D127" s="65" t="s">
        <v>18</v>
      </c>
      <c r="E127" s="51">
        <v>0</v>
      </c>
      <c r="F127" s="130" t="s">
        <v>174</v>
      </c>
      <c r="G127" s="51">
        <v>29</v>
      </c>
      <c r="H127" s="173" t="s">
        <v>174</v>
      </c>
    </row>
    <row r="128" spans="1:8">
      <c r="A128" s="114">
        <v>11</v>
      </c>
      <c r="B128" s="214">
        <v>530032</v>
      </c>
      <c r="C128" s="131" t="s">
        <v>165</v>
      </c>
      <c r="D128" s="127" t="s">
        <v>179</v>
      </c>
      <c r="E128" s="128">
        <f>SUM(E129:E147)</f>
        <v>0</v>
      </c>
      <c r="F128" s="129" t="s">
        <v>174</v>
      </c>
      <c r="G128" s="128">
        <f>SUM(G129:G147)</f>
        <v>2570</v>
      </c>
      <c r="H128" s="172" t="s">
        <v>174</v>
      </c>
    </row>
    <row r="129" spans="1:8">
      <c r="A129" s="450"/>
      <c r="B129" s="112">
        <v>530032</v>
      </c>
      <c r="C129" s="107">
        <v>3</v>
      </c>
      <c r="D129" s="65" t="s">
        <v>77</v>
      </c>
      <c r="E129" s="51">
        <v>0</v>
      </c>
      <c r="F129" s="130" t="s">
        <v>174</v>
      </c>
      <c r="G129" s="51">
        <v>164</v>
      </c>
      <c r="H129" s="173" t="s">
        <v>174</v>
      </c>
    </row>
    <row r="130" spans="1:8">
      <c r="A130" s="450"/>
      <c r="B130" s="212">
        <v>530032</v>
      </c>
      <c r="C130" s="107" t="s">
        <v>51</v>
      </c>
      <c r="D130" s="65" t="s">
        <v>154</v>
      </c>
      <c r="E130" s="51">
        <v>0</v>
      </c>
      <c r="F130" s="130" t="s">
        <v>174</v>
      </c>
      <c r="G130" s="51">
        <v>50</v>
      </c>
      <c r="H130" s="173" t="s">
        <v>174</v>
      </c>
    </row>
    <row r="131" spans="1:8">
      <c r="A131" s="450"/>
      <c r="B131" s="212">
        <v>530032</v>
      </c>
      <c r="C131" s="107" t="s">
        <v>87</v>
      </c>
      <c r="D131" s="65" t="s">
        <v>21</v>
      </c>
      <c r="E131" s="51">
        <v>0</v>
      </c>
      <c r="F131" s="130" t="s">
        <v>174</v>
      </c>
      <c r="G131" s="51">
        <v>48</v>
      </c>
      <c r="H131" s="173" t="s">
        <v>174</v>
      </c>
    </row>
    <row r="132" spans="1:8">
      <c r="A132" s="450"/>
      <c r="B132" s="212">
        <v>530032</v>
      </c>
      <c r="C132" s="107" t="s">
        <v>88</v>
      </c>
      <c r="D132" s="65" t="s">
        <v>89</v>
      </c>
      <c r="E132" s="51">
        <v>0</v>
      </c>
      <c r="F132" s="130" t="s">
        <v>174</v>
      </c>
      <c r="G132" s="51">
        <v>44</v>
      </c>
      <c r="H132" s="173" t="s">
        <v>174</v>
      </c>
    </row>
    <row r="133" spans="1:8">
      <c r="A133" s="450"/>
      <c r="B133" s="212">
        <v>530032</v>
      </c>
      <c r="C133" s="107" t="s">
        <v>54</v>
      </c>
      <c r="D133" s="65" t="s">
        <v>12</v>
      </c>
      <c r="E133" s="51">
        <v>0</v>
      </c>
      <c r="F133" s="130" t="s">
        <v>174</v>
      </c>
      <c r="G133" s="51">
        <v>89</v>
      </c>
      <c r="H133" s="173" t="s">
        <v>174</v>
      </c>
    </row>
    <row r="134" spans="1:8" ht="37.5">
      <c r="A134" s="450"/>
      <c r="B134" s="212">
        <v>530032</v>
      </c>
      <c r="C134" s="107" t="s">
        <v>91</v>
      </c>
      <c r="D134" s="65" t="s">
        <v>15</v>
      </c>
      <c r="E134" s="51">
        <v>0</v>
      </c>
      <c r="F134" s="130" t="s">
        <v>174</v>
      </c>
      <c r="G134" s="51">
        <v>-84</v>
      </c>
      <c r="H134" s="173" t="s">
        <v>174</v>
      </c>
    </row>
    <row r="135" spans="1:8">
      <c r="A135" s="450"/>
      <c r="B135" s="212">
        <v>530032</v>
      </c>
      <c r="C135" s="107">
        <v>60</v>
      </c>
      <c r="D135" s="65" t="s">
        <v>24</v>
      </c>
      <c r="E135" s="51">
        <v>0</v>
      </c>
      <c r="F135" s="130" t="s">
        <v>174</v>
      </c>
      <c r="G135" s="51">
        <v>-54</v>
      </c>
      <c r="H135" s="173" t="s">
        <v>174</v>
      </c>
    </row>
    <row r="136" spans="1:8">
      <c r="A136" s="450"/>
      <c r="B136" s="212">
        <v>530032</v>
      </c>
      <c r="C136" s="107" t="s">
        <v>58</v>
      </c>
      <c r="D136" s="65" t="s">
        <v>27</v>
      </c>
      <c r="E136" s="51">
        <v>0</v>
      </c>
      <c r="F136" s="130" t="s">
        <v>174</v>
      </c>
      <c r="G136" s="51">
        <v>3</v>
      </c>
      <c r="H136" s="173" t="s">
        <v>174</v>
      </c>
    </row>
    <row r="137" spans="1:8">
      <c r="A137" s="450"/>
      <c r="B137" s="212">
        <v>530032</v>
      </c>
      <c r="C137" s="107" t="s">
        <v>73</v>
      </c>
      <c r="D137" s="65" t="s">
        <v>13</v>
      </c>
      <c r="E137" s="51">
        <v>0</v>
      </c>
      <c r="F137" s="130" t="s">
        <v>174</v>
      </c>
      <c r="G137" s="51">
        <v>703</v>
      </c>
      <c r="H137" s="173" t="s">
        <v>174</v>
      </c>
    </row>
    <row r="138" spans="1:8">
      <c r="A138" s="450"/>
      <c r="B138" s="212">
        <v>530032</v>
      </c>
      <c r="C138" s="107" t="s">
        <v>84</v>
      </c>
      <c r="D138" s="65" t="s">
        <v>85</v>
      </c>
      <c r="E138" s="51">
        <v>0</v>
      </c>
      <c r="F138" s="130" t="s">
        <v>174</v>
      </c>
      <c r="G138" s="51">
        <v>484</v>
      </c>
      <c r="H138" s="173" t="s">
        <v>174</v>
      </c>
    </row>
    <row r="139" spans="1:8">
      <c r="A139" s="450"/>
      <c r="B139" s="212">
        <v>530032</v>
      </c>
      <c r="C139" s="107">
        <v>86</v>
      </c>
      <c r="D139" s="65" t="s">
        <v>75</v>
      </c>
      <c r="E139" s="51">
        <v>0</v>
      </c>
      <c r="F139" s="130" t="s">
        <v>174</v>
      </c>
      <c r="G139" s="51">
        <v>16</v>
      </c>
      <c r="H139" s="173" t="s">
        <v>174</v>
      </c>
    </row>
    <row r="140" spans="1:8">
      <c r="A140" s="450"/>
      <c r="B140" s="212">
        <v>530032</v>
      </c>
      <c r="C140" s="107" t="s">
        <v>80</v>
      </c>
      <c r="D140" s="65" t="s">
        <v>81</v>
      </c>
      <c r="E140" s="51">
        <v>0</v>
      </c>
      <c r="F140" s="130" t="s">
        <v>174</v>
      </c>
      <c r="G140" s="51">
        <v>303</v>
      </c>
      <c r="H140" s="173" t="s">
        <v>174</v>
      </c>
    </row>
    <row r="141" spans="1:8">
      <c r="A141" s="450"/>
      <c r="B141" s="212">
        <v>530032</v>
      </c>
      <c r="C141" s="107" t="s">
        <v>82</v>
      </c>
      <c r="D141" s="65" t="s">
        <v>83</v>
      </c>
      <c r="E141" s="51">
        <v>0</v>
      </c>
      <c r="F141" s="130" t="s">
        <v>174</v>
      </c>
      <c r="G141" s="51">
        <v>201</v>
      </c>
      <c r="H141" s="173" t="s">
        <v>174</v>
      </c>
    </row>
    <row r="142" spans="1:8">
      <c r="A142" s="450"/>
      <c r="B142" s="212">
        <v>530032</v>
      </c>
      <c r="C142" s="107" t="s">
        <v>61</v>
      </c>
      <c r="D142" s="65" t="s">
        <v>16</v>
      </c>
      <c r="E142" s="51">
        <v>0</v>
      </c>
      <c r="F142" s="130" t="s">
        <v>174</v>
      </c>
      <c r="G142" s="51">
        <v>273</v>
      </c>
      <c r="H142" s="173" t="s">
        <v>174</v>
      </c>
    </row>
    <row r="143" spans="1:8">
      <c r="A143" s="450"/>
      <c r="B143" s="212">
        <v>530032</v>
      </c>
      <c r="C143" s="107">
        <v>100</v>
      </c>
      <c r="D143" s="65" t="s">
        <v>14</v>
      </c>
      <c r="E143" s="51">
        <v>0</v>
      </c>
      <c r="F143" s="130" t="s">
        <v>174</v>
      </c>
      <c r="G143" s="51">
        <v>50</v>
      </c>
      <c r="H143" s="173" t="s">
        <v>174</v>
      </c>
    </row>
    <row r="144" spans="1:8">
      <c r="A144" s="450"/>
      <c r="B144" s="212">
        <v>530032</v>
      </c>
      <c r="C144" s="107">
        <v>112</v>
      </c>
      <c r="D144" s="65" t="s">
        <v>17</v>
      </c>
      <c r="E144" s="51">
        <v>0</v>
      </c>
      <c r="F144" s="130" t="s">
        <v>174</v>
      </c>
      <c r="G144" s="51">
        <v>76</v>
      </c>
      <c r="H144" s="173" t="s">
        <v>174</v>
      </c>
    </row>
    <row r="145" spans="1:8">
      <c r="A145" s="450"/>
      <c r="B145" s="212">
        <v>530032</v>
      </c>
      <c r="C145" s="107" t="s">
        <v>65</v>
      </c>
      <c r="D145" s="65" t="s">
        <v>32</v>
      </c>
      <c r="E145" s="51">
        <v>0</v>
      </c>
      <c r="F145" s="130" t="s">
        <v>174</v>
      </c>
      <c r="G145" s="51">
        <v>-54</v>
      </c>
      <c r="H145" s="173" t="s">
        <v>174</v>
      </c>
    </row>
    <row r="146" spans="1:8">
      <c r="A146" s="450"/>
      <c r="B146" s="212">
        <v>530032</v>
      </c>
      <c r="C146" s="107" t="s">
        <v>66</v>
      </c>
      <c r="D146" s="65" t="s">
        <v>18</v>
      </c>
      <c r="E146" s="51">
        <v>0</v>
      </c>
      <c r="F146" s="130" t="s">
        <v>174</v>
      </c>
      <c r="G146" s="51">
        <v>196</v>
      </c>
      <c r="H146" s="173" t="s">
        <v>174</v>
      </c>
    </row>
    <row r="147" spans="1:8" ht="37.5">
      <c r="A147" s="450"/>
      <c r="B147" s="212">
        <v>530032</v>
      </c>
      <c r="C147" s="107" t="s">
        <v>67</v>
      </c>
      <c r="D147" s="65" t="s">
        <v>152</v>
      </c>
      <c r="E147" s="51">
        <v>0</v>
      </c>
      <c r="F147" s="130" t="s">
        <v>174</v>
      </c>
      <c r="G147" s="51">
        <v>62</v>
      </c>
      <c r="H147" s="173" t="s">
        <v>174</v>
      </c>
    </row>
    <row r="148" spans="1:8">
      <c r="A148" s="114">
        <v>12</v>
      </c>
      <c r="B148" s="210">
        <v>530034</v>
      </c>
      <c r="C148" s="50" t="s">
        <v>165</v>
      </c>
      <c r="D148" s="127" t="s">
        <v>261</v>
      </c>
      <c r="E148" s="128">
        <f>SUM(E149:E159)</f>
        <v>0</v>
      </c>
      <c r="F148" s="129" t="s">
        <v>174</v>
      </c>
      <c r="G148" s="128">
        <f>SUM(G149:G159)</f>
        <v>2807</v>
      </c>
      <c r="H148" s="172" t="s">
        <v>174</v>
      </c>
    </row>
    <row r="149" spans="1:8">
      <c r="A149" s="447"/>
      <c r="B149" s="389">
        <v>530034</v>
      </c>
      <c r="C149" s="405" t="s">
        <v>51</v>
      </c>
      <c r="D149" s="396" t="s">
        <v>154</v>
      </c>
      <c r="E149" s="51">
        <v>0</v>
      </c>
      <c r="F149" s="130" t="s">
        <v>174</v>
      </c>
      <c r="G149" s="51">
        <v>95</v>
      </c>
      <c r="H149" s="173" t="s">
        <v>174</v>
      </c>
    </row>
    <row r="150" spans="1:8">
      <c r="A150" s="448"/>
      <c r="B150" s="392">
        <v>530034</v>
      </c>
      <c r="C150" s="405" t="s">
        <v>88</v>
      </c>
      <c r="D150" s="394" t="s">
        <v>89</v>
      </c>
      <c r="E150" s="51">
        <v>0</v>
      </c>
      <c r="F150" s="130" t="s">
        <v>174</v>
      </c>
      <c r="G150" s="51">
        <v>860</v>
      </c>
      <c r="H150" s="173" t="s">
        <v>174</v>
      </c>
    </row>
    <row r="151" spans="1:8">
      <c r="A151" s="448"/>
      <c r="B151" s="392">
        <v>530034</v>
      </c>
      <c r="C151" s="405" t="s">
        <v>54</v>
      </c>
      <c r="D151" s="394" t="s">
        <v>12</v>
      </c>
      <c r="E151" s="51">
        <v>0</v>
      </c>
      <c r="F151" s="130" t="s">
        <v>174</v>
      </c>
      <c r="G151" s="51">
        <v>271</v>
      </c>
      <c r="H151" s="173" t="s">
        <v>174</v>
      </c>
    </row>
    <row r="152" spans="1:8">
      <c r="A152" s="448"/>
      <c r="B152" s="392">
        <v>530034</v>
      </c>
      <c r="C152" s="405" t="s">
        <v>58</v>
      </c>
      <c r="D152" s="396" t="s">
        <v>27</v>
      </c>
      <c r="E152" s="51">
        <v>0</v>
      </c>
      <c r="F152" s="130" t="s">
        <v>174</v>
      </c>
      <c r="G152" s="51">
        <v>73</v>
      </c>
      <c r="H152" s="173" t="s">
        <v>174</v>
      </c>
    </row>
    <row r="153" spans="1:8">
      <c r="A153" s="448"/>
      <c r="B153" s="392">
        <v>530034</v>
      </c>
      <c r="C153" s="405" t="s">
        <v>73</v>
      </c>
      <c r="D153" s="396" t="s">
        <v>13</v>
      </c>
      <c r="E153" s="51">
        <v>0</v>
      </c>
      <c r="F153" s="130" t="s">
        <v>174</v>
      </c>
      <c r="G153" s="51">
        <v>409</v>
      </c>
      <c r="H153" s="173" t="s">
        <v>174</v>
      </c>
    </row>
    <row r="154" spans="1:8">
      <c r="A154" s="448"/>
      <c r="B154" s="392">
        <v>530034</v>
      </c>
      <c r="C154" s="406" t="s">
        <v>84</v>
      </c>
      <c r="D154" s="398" t="s">
        <v>85</v>
      </c>
      <c r="E154" s="51">
        <v>0</v>
      </c>
      <c r="F154" s="130" t="s">
        <v>174</v>
      </c>
      <c r="G154" s="51">
        <v>52</v>
      </c>
      <c r="H154" s="173" t="s">
        <v>174</v>
      </c>
    </row>
    <row r="155" spans="1:8">
      <c r="A155" s="448"/>
      <c r="B155" s="392">
        <v>530034</v>
      </c>
      <c r="C155" s="406" t="s">
        <v>80</v>
      </c>
      <c r="D155" s="398" t="s">
        <v>81</v>
      </c>
      <c r="E155" s="51">
        <v>0</v>
      </c>
      <c r="F155" s="130" t="s">
        <v>174</v>
      </c>
      <c r="G155" s="51">
        <v>16</v>
      </c>
      <c r="H155" s="173" t="s">
        <v>174</v>
      </c>
    </row>
    <row r="156" spans="1:8">
      <c r="A156" s="448"/>
      <c r="B156" s="392">
        <v>530034</v>
      </c>
      <c r="C156" s="405" t="s">
        <v>61</v>
      </c>
      <c r="D156" s="399" t="s">
        <v>16</v>
      </c>
      <c r="E156" s="51">
        <v>0</v>
      </c>
      <c r="F156" s="130" t="s">
        <v>174</v>
      </c>
      <c r="G156" s="51">
        <v>375</v>
      </c>
      <c r="H156" s="173" t="s">
        <v>174</v>
      </c>
    </row>
    <row r="157" spans="1:8">
      <c r="A157" s="448"/>
      <c r="B157" s="392">
        <v>530034</v>
      </c>
      <c r="C157" s="405" t="s">
        <v>64</v>
      </c>
      <c r="D157" s="398" t="s">
        <v>17</v>
      </c>
      <c r="E157" s="51">
        <v>0</v>
      </c>
      <c r="F157" s="130" t="s">
        <v>174</v>
      </c>
      <c r="G157" s="51">
        <v>334</v>
      </c>
      <c r="H157" s="173" t="s">
        <v>174</v>
      </c>
    </row>
    <row r="158" spans="1:8">
      <c r="A158" s="448"/>
      <c r="B158" s="392">
        <v>530034</v>
      </c>
      <c r="C158" s="405" t="s">
        <v>66</v>
      </c>
      <c r="D158" s="401" t="s">
        <v>18</v>
      </c>
      <c r="E158" s="51">
        <v>0</v>
      </c>
      <c r="F158" s="130" t="s">
        <v>174</v>
      </c>
      <c r="G158" s="51">
        <v>141</v>
      </c>
      <c r="H158" s="173" t="s">
        <v>174</v>
      </c>
    </row>
    <row r="159" spans="1:8" ht="37.5">
      <c r="A159" s="448"/>
      <c r="B159" s="392">
        <v>530034</v>
      </c>
      <c r="C159" s="405" t="s">
        <v>67</v>
      </c>
      <c r="D159" s="404" t="s">
        <v>152</v>
      </c>
      <c r="E159" s="51">
        <v>0</v>
      </c>
      <c r="F159" s="130" t="s">
        <v>174</v>
      </c>
      <c r="G159" s="51">
        <v>181</v>
      </c>
      <c r="H159" s="173" t="s">
        <v>174</v>
      </c>
    </row>
    <row r="160" spans="1:8">
      <c r="A160" s="114">
        <v>13</v>
      </c>
      <c r="B160" s="114">
        <v>530037</v>
      </c>
      <c r="C160" s="50" t="s">
        <v>165</v>
      </c>
      <c r="D160" s="127" t="s">
        <v>20</v>
      </c>
      <c r="E160" s="128">
        <f>SUM(E161:E172)</f>
        <v>0</v>
      </c>
      <c r="F160" s="129" t="s">
        <v>174</v>
      </c>
      <c r="G160" s="128">
        <f>SUM(G161:G172)</f>
        <v>1251</v>
      </c>
      <c r="H160" s="172" t="s">
        <v>174</v>
      </c>
    </row>
    <row r="161" spans="1:11">
      <c r="A161" s="447"/>
      <c r="B161" s="389">
        <v>530037</v>
      </c>
      <c r="C161" s="393" t="s">
        <v>51</v>
      </c>
      <c r="D161" s="396" t="s">
        <v>154</v>
      </c>
      <c r="E161" s="51">
        <v>0</v>
      </c>
      <c r="F161" s="130" t="s">
        <v>174</v>
      </c>
      <c r="G161" s="51">
        <v>42</v>
      </c>
      <c r="H161" s="173" t="s">
        <v>174</v>
      </c>
    </row>
    <row r="162" spans="1:11">
      <c r="A162" s="448"/>
      <c r="B162" s="392">
        <v>530037</v>
      </c>
      <c r="C162" s="393" t="s">
        <v>88</v>
      </c>
      <c r="D162" s="394" t="s">
        <v>89</v>
      </c>
      <c r="E162" s="51">
        <v>0</v>
      </c>
      <c r="F162" s="130" t="s">
        <v>174</v>
      </c>
      <c r="G162" s="51">
        <v>569</v>
      </c>
      <c r="H162" s="173" t="s">
        <v>174</v>
      </c>
    </row>
    <row r="163" spans="1:11">
      <c r="A163" s="448"/>
      <c r="B163" s="392">
        <v>530037</v>
      </c>
      <c r="C163" s="393" t="s">
        <v>54</v>
      </c>
      <c r="D163" s="394" t="s">
        <v>12</v>
      </c>
      <c r="E163" s="51">
        <v>0</v>
      </c>
      <c r="F163" s="130" t="s">
        <v>174</v>
      </c>
      <c r="G163" s="51">
        <v>50</v>
      </c>
      <c r="H163" s="173" t="s">
        <v>174</v>
      </c>
    </row>
    <row r="164" spans="1:11">
      <c r="A164" s="448"/>
      <c r="B164" s="392">
        <v>530037</v>
      </c>
      <c r="C164" s="393">
        <v>60</v>
      </c>
      <c r="D164" s="394" t="s">
        <v>24</v>
      </c>
      <c r="E164" s="51">
        <v>0</v>
      </c>
      <c r="F164" s="130" t="s">
        <v>174</v>
      </c>
      <c r="G164" s="51">
        <v>68</v>
      </c>
      <c r="H164" s="173" t="s">
        <v>174</v>
      </c>
    </row>
    <row r="165" spans="1:11">
      <c r="A165" s="448"/>
      <c r="B165" s="392">
        <v>530037</v>
      </c>
      <c r="C165" s="393" t="s">
        <v>58</v>
      </c>
      <c r="D165" s="396" t="s">
        <v>27</v>
      </c>
      <c r="E165" s="51">
        <v>0</v>
      </c>
      <c r="F165" s="130" t="s">
        <v>174</v>
      </c>
      <c r="G165" s="51">
        <v>106</v>
      </c>
      <c r="H165" s="173" t="s">
        <v>174</v>
      </c>
    </row>
    <row r="166" spans="1:11">
      <c r="A166" s="448"/>
      <c r="B166" s="392">
        <v>530037</v>
      </c>
      <c r="C166" s="393" t="s">
        <v>73</v>
      </c>
      <c r="D166" s="396" t="s">
        <v>13</v>
      </c>
      <c r="E166" s="51">
        <v>0</v>
      </c>
      <c r="F166" s="130" t="s">
        <v>174</v>
      </c>
      <c r="G166" s="51">
        <v>2</v>
      </c>
      <c r="H166" s="173" t="s">
        <v>174</v>
      </c>
    </row>
    <row r="167" spans="1:11">
      <c r="A167" s="448"/>
      <c r="B167" s="392">
        <v>530037</v>
      </c>
      <c r="C167" s="397" t="s">
        <v>84</v>
      </c>
      <c r="D167" s="398" t="s">
        <v>85</v>
      </c>
      <c r="E167" s="51">
        <v>0</v>
      </c>
      <c r="F167" s="130" t="s">
        <v>174</v>
      </c>
      <c r="G167" s="51">
        <v>136</v>
      </c>
      <c r="H167" s="173" t="s">
        <v>174</v>
      </c>
    </row>
    <row r="168" spans="1:11">
      <c r="A168" s="448"/>
      <c r="B168" s="392">
        <v>530037</v>
      </c>
      <c r="C168" s="397" t="s">
        <v>80</v>
      </c>
      <c r="D168" s="398" t="s">
        <v>81</v>
      </c>
      <c r="E168" s="51">
        <v>0</v>
      </c>
      <c r="F168" s="130" t="s">
        <v>174</v>
      </c>
      <c r="G168" s="51">
        <v>1</v>
      </c>
      <c r="H168" s="173" t="s">
        <v>174</v>
      </c>
    </row>
    <row r="169" spans="1:11">
      <c r="A169" s="448"/>
      <c r="B169" s="392">
        <v>530037</v>
      </c>
      <c r="C169" s="393" t="s">
        <v>61</v>
      </c>
      <c r="D169" s="399" t="s">
        <v>16</v>
      </c>
      <c r="E169" s="51">
        <v>0</v>
      </c>
      <c r="F169" s="130" t="s">
        <v>174</v>
      </c>
      <c r="G169" s="51">
        <v>104</v>
      </c>
      <c r="H169" s="173" t="s">
        <v>174</v>
      </c>
    </row>
    <row r="170" spans="1:11">
      <c r="A170" s="448"/>
      <c r="B170" s="392">
        <v>530037</v>
      </c>
      <c r="C170" s="393" t="s">
        <v>64</v>
      </c>
      <c r="D170" s="398" t="s">
        <v>17</v>
      </c>
      <c r="E170" s="51">
        <v>0</v>
      </c>
      <c r="F170" s="130" t="s">
        <v>174</v>
      </c>
      <c r="G170" s="51">
        <v>49</v>
      </c>
      <c r="H170" s="173" t="s">
        <v>174</v>
      </c>
    </row>
    <row r="171" spans="1:11">
      <c r="A171" s="448"/>
      <c r="B171" s="392">
        <v>530037</v>
      </c>
      <c r="C171" s="393" t="s">
        <v>66</v>
      </c>
      <c r="D171" s="401" t="s">
        <v>18</v>
      </c>
      <c r="E171" s="51">
        <v>0</v>
      </c>
      <c r="F171" s="130" t="s">
        <v>174</v>
      </c>
      <c r="G171" s="51">
        <v>124</v>
      </c>
      <c r="H171" s="173" t="s">
        <v>174</v>
      </c>
    </row>
    <row r="172" spans="1:11" ht="37.5">
      <c r="A172" s="449"/>
      <c r="B172" s="400">
        <v>530037</v>
      </c>
      <c r="C172" s="393" t="s">
        <v>67</v>
      </c>
      <c r="D172" s="404" t="s">
        <v>152</v>
      </c>
      <c r="E172" s="51">
        <v>0</v>
      </c>
      <c r="F172" s="130" t="s">
        <v>174</v>
      </c>
      <c r="G172" s="51">
        <v>0</v>
      </c>
      <c r="H172" s="173" t="s">
        <v>174</v>
      </c>
    </row>
    <row r="173" spans="1:11" ht="56.25">
      <c r="A173" s="114">
        <v>14</v>
      </c>
      <c r="B173" s="114">
        <v>530039</v>
      </c>
      <c r="C173" s="50" t="s">
        <v>165</v>
      </c>
      <c r="D173" s="127" t="s">
        <v>172</v>
      </c>
      <c r="E173" s="128">
        <f>SUM(E174:E176)</f>
        <v>0</v>
      </c>
      <c r="F173" s="129">
        <f t="shared" ref="F173:H173" si="4">SUM(F174:F176)</f>
        <v>-932</v>
      </c>
      <c r="G173" s="128">
        <f t="shared" si="4"/>
        <v>-46</v>
      </c>
      <c r="H173" s="172">
        <f t="shared" si="4"/>
        <v>-33206.9</v>
      </c>
    </row>
    <row r="174" spans="1:11">
      <c r="A174" s="451"/>
      <c r="B174" s="112">
        <v>530039</v>
      </c>
      <c r="C174" s="107" t="s">
        <v>84</v>
      </c>
      <c r="D174" s="65" t="s">
        <v>85</v>
      </c>
      <c r="E174" s="51">
        <v>233</v>
      </c>
      <c r="F174" s="130">
        <v>135606</v>
      </c>
      <c r="G174" s="51">
        <v>233</v>
      </c>
      <c r="H174" s="173">
        <v>135606</v>
      </c>
      <c r="J174" s="288"/>
      <c r="K174" s="297"/>
    </row>
    <row r="175" spans="1:11">
      <c r="A175" s="450"/>
      <c r="B175" s="212">
        <v>530039</v>
      </c>
      <c r="C175" s="107" t="s">
        <v>82</v>
      </c>
      <c r="D175" s="65" t="s">
        <v>83</v>
      </c>
      <c r="E175" s="51">
        <v>-233</v>
      </c>
      <c r="F175" s="130">
        <v>-136538</v>
      </c>
      <c r="G175" s="51">
        <v>-233</v>
      </c>
      <c r="H175" s="173">
        <v>-136538</v>
      </c>
      <c r="J175" s="288"/>
    </row>
    <row r="176" spans="1:11">
      <c r="A176" s="450"/>
      <c r="B176" s="213">
        <v>530039</v>
      </c>
      <c r="C176" s="107" t="s">
        <v>78</v>
      </c>
      <c r="D176" s="65" t="s">
        <v>79</v>
      </c>
      <c r="E176" s="51">
        <v>0</v>
      </c>
      <c r="F176" s="130">
        <v>0</v>
      </c>
      <c r="G176" s="51">
        <v>-46</v>
      </c>
      <c r="H176" s="173">
        <v>-32274.9</v>
      </c>
      <c r="J176" s="288"/>
    </row>
    <row r="177" spans="1:10">
      <c r="A177" s="114">
        <v>15</v>
      </c>
      <c r="B177" s="114">
        <v>530040</v>
      </c>
      <c r="C177" s="50" t="s">
        <v>165</v>
      </c>
      <c r="D177" s="127" t="s">
        <v>262</v>
      </c>
      <c r="E177" s="128">
        <f>SUM(E178:E189)</f>
        <v>0</v>
      </c>
      <c r="F177" s="129" t="s">
        <v>174</v>
      </c>
      <c r="G177" s="128">
        <f>SUM(G178:G189)</f>
        <v>1671</v>
      </c>
      <c r="H177" s="172" t="s">
        <v>174</v>
      </c>
      <c r="J177" s="288"/>
    </row>
    <row r="178" spans="1:10">
      <c r="A178" s="447"/>
      <c r="B178" s="392">
        <v>530040</v>
      </c>
      <c r="C178" s="393" t="s">
        <v>88</v>
      </c>
      <c r="D178" s="394" t="s">
        <v>89</v>
      </c>
      <c r="E178" s="51">
        <v>0</v>
      </c>
      <c r="F178" s="130" t="s">
        <v>174</v>
      </c>
      <c r="G178" s="51">
        <v>156</v>
      </c>
      <c r="H178" s="173" t="s">
        <v>174</v>
      </c>
      <c r="J178" s="288"/>
    </row>
    <row r="179" spans="1:10">
      <c r="A179" s="448"/>
      <c r="B179" s="392">
        <v>530040</v>
      </c>
      <c r="C179" s="393" t="s">
        <v>54</v>
      </c>
      <c r="D179" s="394" t="s">
        <v>12</v>
      </c>
      <c r="E179" s="51">
        <v>0</v>
      </c>
      <c r="F179" s="130" t="s">
        <v>174</v>
      </c>
      <c r="G179" s="51">
        <v>54</v>
      </c>
      <c r="H179" s="173" t="s">
        <v>174</v>
      </c>
      <c r="J179" s="288"/>
    </row>
    <row r="180" spans="1:10" ht="37.5">
      <c r="A180" s="448"/>
      <c r="B180" s="392">
        <v>530040</v>
      </c>
      <c r="C180" s="393" t="s">
        <v>91</v>
      </c>
      <c r="D180" s="395" t="s">
        <v>15</v>
      </c>
      <c r="E180" s="51">
        <v>0</v>
      </c>
      <c r="F180" s="130" t="s">
        <v>174</v>
      </c>
      <c r="G180" s="51">
        <v>46</v>
      </c>
      <c r="H180" s="173" t="s">
        <v>174</v>
      </c>
      <c r="J180" s="288"/>
    </row>
    <row r="181" spans="1:10">
      <c r="A181" s="448"/>
      <c r="B181" s="392">
        <v>530040</v>
      </c>
      <c r="C181" s="393" t="s">
        <v>58</v>
      </c>
      <c r="D181" s="396" t="s">
        <v>27</v>
      </c>
      <c r="E181" s="51">
        <v>0</v>
      </c>
      <c r="F181" s="130" t="s">
        <v>174</v>
      </c>
      <c r="G181" s="51">
        <v>67</v>
      </c>
      <c r="H181" s="173" t="s">
        <v>174</v>
      </c>
      <c r="J181" s="288"/>
    </row>
    <row r="182" spans="1:10">
      <c r="A182" s="448"/>
      <c r="B182" s="392">
        <v>530040</v>
      </c>
      <c r="C182" s="407" t="s">
        <v>73</v>
      </c>
      <c r="D182" s="398" t="s">
        <v>13</v>
      </c>
      <c r="E182" s="51">
        <v>0</v>
      </c>
      <c r="F182" s="130" t="s">
        <v>174</v>
      </c>
      <c r="G182" s="51">
        <v>294</v>
      </c>
      <c r="H182" s="173" t="s">
        <v>174</v>
      </c>
      <c r="J182" s="288"/>
    </row>
    <row r="183" spans="1:10">
      <c r="A183" s="448"/>
      <c r="B183" s="392">
        <v>530040</v>
      </c>
      <c r="C183" s="397" t="s">
        <v>84</v>
      </c>
      <c r="D183" s="398" t="s">
        <v>85</v>
      </c>
      <c r="E183" s="51">
        <v>0</v>
      </c>
      <c r="F183" s="130" t="s">
        <v>174</v>
      </c>
      <c r="G183" s="51">
        <v>15</v>
      </c>
      <c r="H183" s="173" t="s">
        <v>174</v>
      </c>
      <c r="J183" s="288"/>
    </row>
    <row r="184" spans="1:10">
      <c r="A184" s="448"/>
      <c r="B184" s="392">
        <v>530040</v>
      </c>
      <c r="C184" s="393" t="s">
        <v>61</v>
      </c>
      <c r="D184" s="399" t="s">
        <v>16</v>
      </c>
      <c r="E184" s="51">
        <v>0</v>
      </c>
      <c r="F184" s="130" t="s">
        <v>174</v>
      </c>
      <c r="G184" s="51">
        <v>748</v>
      </c>
      <c r="H184" s="173" t="s">
        <v>174</v>
      </c>
      <c r="J184" s="288"/>
    </row>
    <row r="185" spans="1:10">
      <c r="A185" s="448"/>
      <c r="B185" s="392">
        <v>530040</v>
      </c>
      <c r="C185" s="393" t="s">
        <v>62</v>
      </c>
      <c r="D185" s="399" t="s">
        <v>14</v>
      </c>
      <c r="E185" s="51">
        <v>0</v>
      </c>
      <c r="F185" s="130" t="s">
        <v>174</v>
      </c>
      <c r="G185" s="51">
        <v>37</v>
      </c>
      <c r="H185" s="173" t="s">
        <v>174</v>
      </c>
      <c r="J185" s="288"/>
    </row>
    <row r="186" spans="1:10">
      <c r="A186" s="448"/>
      <c r="B186" s="392">
        <v>530040</v>
      </c>
      <c r="C186" s="393">
        <v>112</v>
      </c>
      <c r="D186" s="399" t="s">
        <v>17</v>
      </c>
      <c r="E186" s="51">
        <v>0</v>
      </c>
      <c r="F186" s="130" t="s">
        <v>174</v>
      </c>
      <c r="G186" s="51">
        <v>51</v>
      </c>
      <c r="H186" s="173" t="s">
        <v>174</v>
      </c>
      <c r="J186" s="288"/>
    </row>
    <row r="187" spans="1:10">
      <c r="A187" s="448"/>
      <c r="B187" s="392">
        <v>530040</v>
      </c>
      <c r="C187" s="393" t="s">
        <v>66</v>
      </c>
      <c r="D187" s="401" t="s">
        <v>18</v>
      </c>
      <c r="E187" s="51">
        <v>0</v>
      </c>
      <c r="F187" s="130" t="s">
        <v>174</v>
      </c>
      <c r="G187" s="51">
        <v>110</v>
      </c>
      <c r="H187" s="173" t="s">
        <v>174</v>
      </c>
      <c r="J187" s="288"/>
    </row>
    <row r="188" spans="1:10" ht="37.5">
      <c r="A188" s="448"/>
      <c r="B188" s="392">
        <v>530040</v>
      </c>
      <c r="C188" s="393" t="s">
        <v>67</v>
      </c>
      <c r="D188" s="404" t="s">
        <v>152</v>
      </c>
      <c r="E188" s="51">
        <v>0</v>
      </c>
      <c r="F188" s="130" t="s">
        <v>174</v>
      </c>
      <c r="G188" s="51">
        <v>78</v>
      </c>
      <c r="H188" s="173" t="s">
        <v>174</v>
      </c>
      <c r="J188" s="288"/>
    </row>
    <row r="189" spans="1:10">
      <c r="A189" s="449"/>
      <c r="B189" s="392">
        <v>530040</v>
      </c>
      <c r="C189" s="397" t="s">
        <v>78</v>
      </c>
      <c r="D189" s="398" t="s">
        <v>79</v>
      </c>
      <c r="E189" s="51">
        <v>0</v>
      </c>
      <c r="F189" s="130" t="s">
        <v>174</v>
      </c>
      <c r="G189" s="51">
        <v>15</v>
      </c>
      <c r="H189" s="173" t="s">
        <v>174</v>
      </c>
      <c r="J189" s="288"/>
    </row>
    <row r="190" spans="1:10">
      <c r="A190" s="114">
        <v>16</v>
      </c>
      <c r="B190" s="210">
        <v>530042</v>
      </c>
      <c r="C190" s="131" t="s">
        <v>165</v>
      </c>
      <c r="D190" s="127" t="s">
        <v>180</v>
      </c>
      <c r="E190" s="128">
        <f>SUM(E191:E210)</f>
        <v>0</v>
      </c>
      <c r="F190" s="129" t="s">
        <v>174</v>
      </c>
      <c r="G190" s="128">
        <f>SUM(G191:G210)</f>
        <v>5918</v>
      </c>
      <c r="H190" s="172" t="s">
        <v>174</v>
      </c>
      <c r="J190" s="288"/>
    </row>
    <row r="191" spans="1:10">
      <c r="A191" s="447"/>
      <c r="B191" s="112">
        <v>530042</v>
      </c>
      <c r="C191" s="107">
        <v>3</v>
      </c>
      <c r="D191" s="65" t="s">
        <v>77</v>
      </c>
      <c r="E191" s="51">
        <v>-50</v>
      </c>
      <c r="F191" s="130" t="s">
        <v>174</v>
      </c>
      <c r="G191" s="51">
        <v>-27</v>
      </c>
      <c r="H191" s="173" t="s">
        <v>174</v>
      </c>
    </row>
    <row r="192" spans="1:10">
      <c r="A192" s="448"/>
      <c r="B192" s="212">
        <v>530042</v>
      </c>
      <c r="C192" s="107" t="s">
        <v>51</v>
      </c>
      <c r="D192" s="65" t="s">
        <v>154</v>
      </c>
      <c r="E192" s="51">
        <v>-9</v>
      </c>
      <c r="F192" s="130" t="s">
        <v>174</v>
      </c>
      <c r="G192" s="51">
        <v>-4</v>
      </c>
      <c r="H192" s="173" t="s">
        <v>174</v>
      </c>
    </row>
    <row r="193" spans="1:8">
      <c r="A193" s="448"/>
      <c r="B193" s="212">
        <v>530042</v>
      </c>
      <c r="C193" s="107" t="s">
        <v>71</v>
      </c>
      <c r="D193" s="65" t="s">
        <v>46</v>
      </c>
      <c r="E193" s="51">
        <v>-50</v>
      </c>
      <c r="F193" s="130" t="s">
        <v>174</v>
      </c>
      <c r="G193" s="51">
        <v>-7</v>
      </c>
      <c r="H193" s="173" t="s">
        <v>174</v>
      </c>
    </row>
    <row r="194" spans="1:8">
      <c r="A194" s="448"/>
      <c r="B194" s="212">
        <v>530042</v>
      </c>
      <c r="C194" s="107" t="s">
        <v>87</v>
      </c>
      <c r="D194" s="65" t="s">
        <v>21</v>
      </c>
      <c r="E194" s="51">
        <v>0</v>
      </c>
      <c r="F194" s="130" t="s">
        <v>174</v>
      </c>
      <c r="G194" s="51">
        <v>88</v>
      </c>
      <c r="H194" s="173"/>
    </row>
    <row r="195" spans="1:8">
      <c r="A195" s="448"/>
      <c r="B195" s="212">
        <v>530042</v>
      </c>
      <c r="C195" s="107" t="s">
        <v>88</v>
      </c>
      <c r="D195" s="65" t="s">
        <v>89</v>
      </c>
      <c r="E195" s="51">
        <v>0</v>
      </c>
      <c r="F195" s="130" t="s">
        <v>174</v>
      </c>
      <c r="G195" s="51">
        <v>571</v>
      </c>
      <c r="H195" s="173"/>
    </row>
    <row r="196" spans="1:8">
      <c r="A196" s="448"/>
      <c r="B196" s="212">
        <v>530042</v>
      </c>
      <c r="C196" s="107" t="s">
        <v>54</v>
      </c>
      <c r="D196" s="65" t="s">
        <v>12</v>
      </c>
      <c r="E196" s="51">
        <v>-100</v>
      </c>
      <c r="F196" s="130" t="s">
        <v>174</v>
      </c>
      <c r="G196" s="51">
        <v>-64</v>
      </c>
      <c r="H196" s="173" t="s">
        <v>174</v>
      </c>
    </row>
    <row r="197" spans="1:8" ht="37.5">
      <c r="A197" s="448"/>
      <c r="B197" s="212">
        <v>530042</v>
      </c>
      <c r="C197" s="107" t="s">
        <v>91</v>
      </c>
      <c r="D197" s="65" t="s">
        <v>15</v>
      </c>
      <c r="E197" s="51">
        <v>196</v>
      </c>
      <c r="F197" s="130" t="s">
        <v>174</v>
      </c>
      <c r="G197" s="51">
        <v>416</v>
      </c>
      <c r="H197" s="173" t="s">
        <v>174</v>
      </c>
    </row>
    <row r="198" spans="1:8">
      <c r="A198" s="448"/>
      <c r="B198" s="212">
        <v>530042</v>
      </c>
      <c r="C198" s="107">
        <v>60</v>
      </c>
      <c r="D198" s="65" t="s">
        <v>24</v>
      </c>
      <c r="E198" s="51">
        <v>0</v>
      </c>
      <c r="F198" s="130" t="s">
        <v>174</v>
      </c>
      <c r="G198" s="51">
        <v>251</v>
      </c>
      <c r="H198" s="173"/>
    </row>
    <row r="199" spans="1:8">
      <c r="A199" s="448"/>
      <c r="B199" s="212">
        <v>530042</v>
      </c>
      <c r="C199" s="107" t="s">
        <v>58</v>
      </c>
      <c r="D199" s="65" t="s">
        <v>27</v>
      </c>
      <c r="E199" s="51">
        <v>100</v>
      </c>
      <c r="F199" s="130" t="s">
        <v>174</v>
      </c>
      <c r="G199" s="51">
        <v>359</v>
      </c>
      <c r="H199" s="173" t="s">
        <v>174</v>
      </c>
    </row>
    <row r="200" spans="1:8">
      <c r="A200" s="448"/>
      <c r="B200" s="212">
        <v>530042</v>
      </c>
      <c r="C200" s="107" t="s">
        <v>73</v>
      </c>
      <c r="D200" s="65" t="s">
        <v>13</v>
      </c>
      <c r="E200" s="51">
        <v>200</v>
      </c>
      <c r="F200" s="130" t="s">
        <v>174</v>
      </c>
      <c r="G200" s="51">
        <v>469</v>
      </c>
      <c r="H200" s="173" t="s">
        <v>174</v>
      </c>
    </row>
    <row r="201" spans="1:8">
      <c r="A201" s="448"/>
      <c r="B201" s="212">
        <v>530042</v>
      </c>
      <c r="C201" s="107">
        <v>85</v>
      </c>
      <c r="D201" s="65" t="s">
        <v>85</v>
      </c>
      <c r="E201" s="51">
        <v>0</v>
      </c>
      <c r="F201" s="130" t="s">
        <v>174</v>
      </c>
      <c r="G201" s="51">
        <v>487</v>
      </c>
      <c r="H201" s="173"/>
    </row>
    <row r="202" spans="1:8">
      <c r="A202" s="448"/>
      <c r="B202" s="212">
        <v>530042</v>
      </c>
      <c r="C202" s="107">
        <v>86</v>
      </c>
      <c r="D202" s="65" t="s">
        <v>75</v>
      </c>
      <c r="E202" s="51">
        <v>0</v>
      </c>
      <c r="F202" s="130" t="s">
        <v>174</v>
      </c>
      <c r="G202" s="51">
        <v>0</v>
      </c>
      <c r="H202" s="173"/>
    </row>
    <row r="203" spans="1:8">
      <c r="A203" s="448"/>
      <c r="B203" s="212">
        <v>530042</v>
      </c>
      <c r="C203" s="107">
        <v>89</v>
      </c>
      <c r="D203" s="65" t="s">
        <v>81</v>
      </c>
      <c r="E203" s="51">
        <v>0</v>
      </c>
      <c r="F203" s="130" t="s">
        <v>174</v>
      </c>
      <c r="G203" s="51">
        <v>5</v>
      </c>
      <c r="H203" s="173"/>
    </row>
    <row r="204" spans="1:8">
      <c r="A204" s="448"/>
      <c r="B204" s="212">
        <v>530042</v>
      </c>
      <c r="C204" s="107">
        <v>90</v>
      </c>
      <c r="D204" s="65" t="s">
        <v>83</v>
      </c>
      <c r="E204" s="51">
        <v>0</v>
      </c>
      <c r="F204" s="130" t="s">
        <v>174</v>
      </c>
      <c r="G204" s="51">
        <v>83</v>
      </c>
      <c r="H204" s="173"/>
    </row>
    <row r="205" spans="1:8">
      <c r="A205" s="448"/>
      <c r="B205" s="212">
        <v>530042</v>
      </c>
      <c r="C205" s="107" t="s">
        <v>61</v>
      </c>
      <c r="D205" s="65" t="s">
        <v>16</v>
      </c>
      <c r="E205" s="51">
        <v>300</v>
      </c>
      <c r="F205" s="130" t="s">
        <v>174</v>
      </c>
      <c r="G205" s="51">
        <v>3082</v>
      </c>
      <c r="H205" s="173" t="s">
        <v>174</v>
      </c>
    </row>
    <row r="206" spans="1:8">
      <c r="A206" s="448"/>
      <c r="B206" s="212">
        <v>530042</v>
      </c>
      <c r="C206" s="107" t="s">
        <v>62</v>
      </c>
      <c r="D206" s="65" t="s">
        <v>14</v>
      </c>
      <c r="E206" s="51">
        <v>-300</v>
      </c>
      <c r="F206" s="130" t="s">
        <v>174</v>
      </c>
      <c r="G206" s="51">
        <v>62</v>
      </c>
      <c r="H206" s="173" t="s">
        <v>174</v>
      </c>
    </row>
    <row r="207" spans="1:8">
      <c r="A207" s="448"/>
      <c r="B207" s="212">
        <v>530042</v>
      </c>
      <c r="C207" s="107">
        <v>112</v>
      </c>
      <c r="D207" s="65" t="s">
        <v>17</v>
      </c>
      <c r="E207" s="51">
        <v>0</v>
      </c>
      <c r="F207" s="130" t="s">
        <v>174</v>
      </c>
      <c r="G207" s="51">
        <v>125</v>
      </c>
      <c r="H207" s="173"/>
    </row>
    <row r="208" spans="1:8">
      <c r="A208" s="448"/>
      <c r="B208" s="212">
        <v>530042</v>
      </c>
      <c r="C208" s="107" t="s">
        <v>66</v>
      </c>
      <c r="D208" s="65" t="s">
        <v>18</v>
      </c>
      <c r="E208" s="51">
        <v>-130</v>
      </c>
      <c r="F208" s="130" t="s">
        <v>174</v>
      </c>
      <c r="G208" s="51">
        <v>148</v>
      </c>
      <c r="H208" s="173" t="s">
        <v>174</v>
      </c>
    </row>
    <row r="209" spans="1:10" ht="37.5">
      <c r="A209" s="448"/>
      <c r="B209" s="212">
        <v>530042</v>
      </c>
      <c r="C209" s="107" t="s">
        <v>67</v>
      </c>
      <c r="D209" s="65" t="s">
        <v>152</v>
      </c>
      <c r="E209" s="51">
        <v>-157</v>
      </c>
      <c r="F209" s="130" t="s">
        <v>174</v>
      </c>
      <c r="G209" s="51">
        <v>-134</v>
      </c>
      <c r="H209" s="173" t="s">
        <v>174</v>
      </c>
    </row>
    <row r="210" spans="1:10">
      <c r="A210" s="449"/>
      <c r="B210" s="213">
        <v>530042</v>
      </c>
      <c r="C210" s="107" t="s">
        <v>78</v>
      </c>
      <c r="D210" s="65" t="s">
        <v>79</v>
      </c>
      <c r="E210" s="51">
        <v>0</v>
      </c>
      <c r="F210" s="130" t="s">
        <v>174</v>
      </c>
      <c r="G210" s="51">
        <v>8</v>
      </c>
      <c r="H210" s="173"/>
    </row>
    <row r="211" spans="1:10">
      <c r="A211" s="114">
        <v>17</v>
      </c>
      <c r="B211" s="211">
        <v>530045</v>
      </c>
      <c r="C211" s="50" t="s">
        <v>165</v>
      </c>
      <c r="D211" s="127" t="s">
        <v>22</v>
      </c>
      <c r="E211" s="128">
        <f>SUM(E212:E222)</f>
        <v>0</v>
      </c>
      <c r="F211" s="129" t="s">
        <v>174</v>
      </c>
      <c r="G211" s="128">
        <f>SUM(G212:G222)</f>
        <v>1587</v>
      </c>
      <c r="H211" s="129" t="s">
        <v>174</v>
      </c>
    </row>
    <row r="212" spans="1:10" ht="18" customHeight="1">
      <c r="A212" s="447"/>
      <c r="B212" s="389">
        <v>530045</v>
      </c>
      <c r="C212" s="393" t="s">
        <v>51</v>
      </c>
      <c r="D212" s="396" t="s">
        <v>154</v>
      </c>
      <c r="E212" s="51">
        <v>0</v>
      </c>
      <c r="F212" s="130" t="s">
        <v>174</v>
      </c>
      <c r="G212" s="51">
        <v>12</v>
      </c>
      <c r="H212" s="130" t="s">
        <v>174</v>
      </c>
    </row>
    <row r="213" spans="1:10">
      <c r="A213" s="448"/>
      <c r="B213" s="392">
        <v>530045</v>
      </c>
      <c r="C213" s="393">
        <v>29</v>
      </c>
      <c r="D213" s="396" t="s">
        <v>6</v>
      </c>
      <c r="E213" s="51">
        <v>0</v>
      </c>
      <c r="F213" s="130" t="s">
        <v>174</v>
      </c>
      <c r="G213" s="51">
        <v>35</v>
      </c>
      <c r="H213" s="130" t="s">
        <v>174</v>
      </c>
    </row>
    <row r="214" spans="1:10">
      <c r="A214" s="448"/>
      <c r="B214" s="392">
        <v>530045</v>
      </c>
      <c r="C214" s="393" t="s">
        <v>88</v>
      </c>
      <c r="D214" s="394" t="s">
        <v>89</v>
      </c>
      <c r="E214" s="51">
        <v>0</v>
      </c>
      <c r="F214" s="130" t="s">
        <v>174</v>
      </c>
      <c r="G214" s="51">
        <v>676</v>
      </c>
      <c r="H214" s="130" t="s">
        <v>174</v>
      </c>
    </row>
    <row r="215" spans="1:10">
      <c r="A215" s="448"/>
      <c r="B215" s="392">
        <v>530045</v>
      </c>
      <c r="C215" s="393" t="s">
        <v>54</v>
      </c>
      <c r="D215" s="394" t="s">
        <v>12</v>
      </c>
      <c r="E215" s="51">
        <v>0</v>
      </c>
      <c r="F215" s="130" t="s">
        <v>174</v>
      </c>
      <c r="G215" s="51">
        <v>55</v>
      </c>
      <c r="H215" s="130" t="s">
        <v>174</v>
      </c>
    </row>
    <row r="216" spans="1:10">
      <c r="A216" s="448"/>
      <c r="B216" s="392">
        <v>530045</v>
      </c>
      <c r="C216" s="393" t="s">
        <v>58</v>
      </c>
      <c r="D216" s="396" t="s">
        <v>27</v>
      </c>
      <c r="E216" s="51">
        <v>0</v>
      </c>
      <c r="F216" s="130" t="s">
        <v>174</v>
      </c>
      <c r="G216" s="51">
        <v>42</v>
      </c>
      <c r="H216" s="130" t="s">
        <v>174</v>
      </c>
    </row>
    <row r="217" spans="1:10">
      <c r="A217" s="448"/>
      <c r="B217" s="392">
        <v>530045</v>
      </c>
      <c r="C217" s="393" t="s">
        <v>73</v>
      </c>
      <c r="D217" s="396" t="s">
        <v>13</v>
      </c>
      <c r="E217" s="51">
        <v>0</v>
      </c>
      <c r="F217" s="130" t="s">
        <v>174</v>
      </c>
      <c r="G217" s="51">
        <v>197</v>
      </c>
      <c r="H217" s="130" t="s">
        <v>174</v>
      </c>
    </row>
    <row r="218" spans="1:10">
      <c r="A218" s="448"/>
      <c r="B218" s="392">
        <v>530045</v>
      </c>
      <c r="C218" s="397" t="s">
        <v>84</v>
      </c>
      <c r="D218" s="398" t="s">
        <v>85</v>
      </c>
      <c r="E218" s="51">
        <v>0</v>
      </c>
      <c r="F218" s="130" t="s">
        <v>174</v>
      </c>
      <c r="G218" s="51">
        <v>156</v>
      </c>
      <c r="H218" s="130" t="s">
        <v>174</v>
      </c>
    </row>
    <row r="219" spans="1:10">
      <c r="A219" s="448"/>
      <c r="B219" s="392">
        <v>530045</v>
      </c>
      <c r="C219" s="393" t="s">
        <v>61</v>
      </c>
      <c r="D219" s="399" t="s">
        <v>16</v>
      </c>
      <c r="E219" s="51">
        <v>0</v>
      </c>
      <c r="F219" s="130" t="s">
        <v>174</v>
      </c>
      <c r="G219" s="51">
        <v>155</v>
      </c>
      <c r="H219" s="130" t="s">
        <v>174</v>
      </c>
    </row>
    <row r="220" spans="1:10">
      <c r="A220" s="448"/>
      <c r="B220" s="392">
        <v>530045</v>
      </c>
      <c r="C220" s="393" t="s">
        <v>64</v>
      </c>
      <c r="D220" s="398" t="s">
        <v>17</v>
      </c>
      <c r="E220" s="51">
        <v>0</v>
      </c>
      <c r="F220" s="130" t="s">
        <v>174</v>
      </c>
      <c r="G220" s="51">
        <v>67</v>
      </c>
      <c r="H220" s="130" t="s">
        <v>174</v>
      </c>
    </row>
    <row r="221" spans="1:10">
      <c r="A221" s="448"/>
      <c r="B221" s="392">
        <v>530045</v>
      </c>
      <c r="C221" s="393" t="s">
        <v>66</v>
      </c>
      <c r="D221" s="401" t="s">
        <v>18</v>
      </c>
      <c r="E221" s="51">
        <v>0</v>
      </c>
      <c r="F221" s="130" t="s">
        <v>174</v>
      </c>
      <c r="G221" s="51">
        <v>153</v>
      </c>
      <c r="H221" s="130" t="s">
        <v>174</v>
      </c>
    </row>
    <row r="222" spans="1:10">
      <c r="A222" s="449"/>
      <c r="B222" s="400">
        <v>530045</v>
      </c>
      <c r="C222" s="397" t="s">
        <v>78</v>
      </c>
      <c r="D222" s="398" t="s">
        <v>79</v>
      </c>
      <c r="E222" s="51">
        <v>0</v>
      </c>
      <c r="F222" s="130" t="s">
        <v>174</v>
      </c>
      <c r="G222" s="51">
        <v>39</v>
      </c>
      <c r="H222" s="130" t="s">
        <v>174</v>
      </c>
    </row>
    <row r="223" spans="1:10" ht="37.5">
      <c r="A223" s="114">
        <v>18</v>
      </c>
      <c r="B223" s="211">
        <v>530046</v>
      </c>
      <c r="C223" s="50" t="s">
        <v>165</v>
      </c>
      <c r="D223" s="127" t="s">
        <v>181</v>
      </c>
      <c r="E223" s="128">
        <f>E224</f>
        <v>0</v>
      </c>
      <c r="F223" s="129">
        <f t="shared" ref="F223:H223" si="5">F224</f>
        <v>0</v>
      </c>
      <c r="G223" s="128">
        <f t="shared" si="5"/>
        <v>-6</v>
      </c>
      <c r="H223" s="172">
        <f t="shared" si="5"/>
        <v>-1277.1500000000001</v>
      </c>
    </row>
    <row r="224" spans="1:10" ht="37.5">
      <c r="A224" s="240"/>
      <c r="B224" s="113">
        <v>530046</v>
      </c>
      <c r="C224" s="83" t="s">
        <v>67</v>
      </c>
      <c r="D224" s="65" t="s">
        <v>152</v>
      </c>
      <c r="E224" s="51">
        <v>0</v>
      </c>
      <c r="F224" s="130">
        <v>0</v>
      </c>
      <c r="G224" s="51">
        <v>-6</v>
      </c>
      <c r="H224" s="173">
        <v>-1277.1500000000001</v>
      </c>
      <c r="J224" s="296"/>
    </row>
    <row r="225" spans="1:8">
      <c r="A225" s="114">
        <v>19</v>
      </c>
      <c r="B225" s="210">
        <v>530050</v>
      </c>
      <c r="C225" s="50" t="s">
        <v>165</v>
      </c>
      <c r="D225" s="127" t="s">
        <v>182</v>
      </c>
      <c r="E225" s="128">
        <f>SUM(E226:E227)</f>
        <v>1000</v>
      </c>
      <c r="F225" s="129">
        <f t="shared" ref="F225:H225" si="6">SUM(F226:F227)</f>
        <v>450000</v>
      </c>
      <c r="G225" s="128">
        <f t="shared" si="6"/>
        <v>974</v>
      </c>
      <c r="H225" s="172">
        <f t="shared" si="6"/>
        <v>441349.315</v>
      </c>
    </row>
    <row r="226" spans="1:8">
      <c r="A226" s="240"/>
      <c r="B226" s="112">
        <v>530050</v>
      </c>
      <c r="C226" s="107" t="s">
        <v>86</v>
      </c>
      <c r="D226" s="65" t="s">
        <v>24</v>
      </c>
      <c r="E226" s="51">
        <v>1000</v>
      </c>
      <c r="F226" s="130">
        <v>450000</v>
      </c>
      <c r="G226" s="51">
        <v>1000</v>
      </c>
      <c r="H226" s="173">
        <v>450000</v>
      </c>
    </row>
    <row r="227" spans="1:8" ht="53.25" customHeight="1">
      <c r="A227" s="240"/>
      <c r="B227" s="213">
        <v>530050</v>
      </c>
      <c r="C227" s="107" t="s">
        <v>66</v>
      </c>
      <c r="D227" s="65" t="s">
        <v>168</v>
      </c>
      <c r="E227" s="51">
        <v>0</v>
      </c>
      <c r="F227" s="130">
        <v>0</v>
      </c>
      <c r="G227" s="51">
        <v>-26</v>
      </c>
      <c r="H227" s="173">
        <v>-8650.6849999999977</v>
      </c>
    </row>
    <row r="228" spans="1:8">
      <c r="A228" s="114">
        <v>20</v>
      </c>
      <c r="B228" s="214">
        <v>530052</v>
      </c>
      <c r="C228" s="50" t="s">
        <v>165</v>
      </c>
      <c r="D228" s="127" t="s">
        <v>183</v>
      </c>
      <c r="E228" s="128">
        <f>SUM(E229:E243)</f>
        <v>-407</v>
      </c>
      <c r="F228" s="129">
        <f>SUM(F229:F243)</f>
        <v>406434.75000000023</v>
      </c>
      <c r="G228" s="128">
        <f>SUM(G229:G243)</f>
        <v>-407</v>
      </c>
      <c r="H228" s="172">
        <f>SUM(H229:H243)</f>
        <v>405400.76000000024</v>
      </c>
    </row>
    <row r="229" spans="1:8">
      <c r="A229" s="451"/>
      <c r="B229" s="112">
        <v>530052</v>
      </c>
      <c r="C229" s="107">
        <v>14</v>
      </c>
      <c r="D229" s="65" t="s">
        <v>47</v>
      </c>
      <c r="E229" s="51">
        <v>409</v>
      </c>
      <c r="F229" s="130">
        <v>97967</v>
      </c>
      <c r="G229" s="51">
        <v>409</v>
      </c>
      <c r="H229" s="173">
        <v>96933</v>
      </c>
    </row>
    <row r="230" spans="1:8">
      <c r="A230" s="450"/>
      <c r="B230" s="212">
        <v>530052</v>
      </c>
      <c r="C230" s="107" t="s">
        <v>51</v>
      </c>
      <c r="D230" s="65" t="s">
        <v>154</v>
      </c>
      <c r="E230" s="51">
        <v>64</v>
      </c>
      <c r="F230" s="130">
        <v>13056</v>
      </c>
      <c r="G230" s="51">
        <v>64</v>
      </c>
      <c r="H230" s="173">
        <v>13056</v>
      </c>
    </row>
    <row r="231" spans="1:8" ht="18" customHeight="1">
      <c r="A231" s="450"/>
      <c r="B231" s="212">
        <v>530052</v>
      </c>
      <c r="C231" s="107" t="s">
        <v>52</v>
      </c>
      <c r="D231" s="65" t="s">
        <v>6</v>
      </c>
      <c r="E231" s="51">
        <v>99</v>
      </c>
      <c r="F231" s="130">
        <v>135648</v>
      </c>
      <c r="G231" s="51">
        <v>99</v>
      </c>
      <c r="H231" s="173">
        <f>135648+0.01</f>
        <v>135648.01</v>
      </c>
    </row>
    <row r="232" spans="1:8">
      <c r="A232" s="450"/>
      <c r="B232" s="212">
        <v>530052</v>
      </c>
      <c r="C232" s="107" t="s">
        <v>54</v>
      </c>
      <c r="D232" s="65" t="s">
        <v>12</v>
      </c>
      <c r="E232" s="51">
        <v>86</v>
      </c>
      <c r="F232" s="130">
        <v>104694</v>
      </c>
      <c r="G232" s="51">
        <v>86</v>
      </c>
      <c r="H232" s="173">
        <v>104694</v>
      </c>
    </row>
    <row r="233" spans="1:8">
      <c r="A233" s="450"/>
      <c r="B233" s="212">
        <v>530052</v>
      </c>
      <c r="C233" s="107" t="s">
        <v>58</v>
      </c>
      <c r="D233" s="65" t="s">
        <v>27</v>
      </c>
      <c r="E233" s="51">
        <v>-78</v>
      </c>
      <c r="F233" s="130">
        <v>-9884</v>
      </c>
      <c r="G233" s="51">
        <v>-78</v>
      </c>
      <c r="H233" s="173">
        <v>-9884</v>
      </c>
    </row>
    <row r="234" spans="1:8">
      <c r="A234" s="450"/>
      <c r="B234" s="212">
        <v>530052</v>
      </c>
      <c r="C234" s="107" t="s">
        <v>84</v>
      </c>
      <c r="D234" s="65" t="s">
        <v>85</v>
      </c>
      <c r="E234" s="51">
        <v>-1</v>
      </c>
      <c r="F234" s="130">
        <v>-582</v>
      </c>
      <c r="G234" s="51">
        <v>-1</v>
      </c>
      <c r="H234" s="173">
        <v>-582</v>
      </c>
    </row>
    <row r="235" spans="1:8">
      <c r="A235" s="450"/>
      <c r="B235" s="212">
        <v>530052</v>
      </c>
      <c r="C235" s="107" t="s">
        <v>61</v>
      </c>
      <c r="D235" s="65" t="s">
        <v>16</v>
      </c>
      <c r="E235" s="51">
        <v>-986</v>
      </c>
      <c r="F235" s="130">
        <v>-190955</v>
      </c>
      <c r="G235" s="51">
        <v>-986</v>
      </c>
      <c r="H235" s="173">
        <v>-190955</v>
      </c>
    </row>
    <row r="236" spans="1:8">
      <c r="A236" s="450"/>
      <c r="B236" s="212">
        <v>530052</v>
      </c>
      <c r="C236" s="107" t="s">
        <v>62</v>
      </c>
      <c r="D236" s="65" t="s">
        <v>14</v>
      </c>
      <c r="E236" s="51">
        <v>-5</v>
      </c>
      <c r="F236" s="130">
        <v>-1265</v>
      </c>
      <c r="G236" s="51">
        <v>-5</v>
      </c>
      <c r="H236" s="173">
        <v>-1265</v>
      </c>
    </row>
    <row r="237" spans="1:8">
      <c r="A237" s="450"/>
      <c r="B237" s="212">
        <v>530052</v>
      </c>
      <c r="C237" s="107" t="s">
        <v>63</v>
      </c>
      <c r="D237" s="65" t="s">
        <v>41</v>
      </c>
      <c r="E237" s="51">
        <v>315</v>
      </c>
      <c r="F237" s="130">
        <v>64575</v>
      </c>
      <c r="G237" s="51">
        <v>315</v>
      </c>
      <c r="H237" s="173">
        <v>64575</v>
      </c>
    </row>
    <row r="238" spans="1:8">
      <c r="A238" s="450"/>
      <c r="B238" s="212">
        <v>530052</v>
      </c>
      <c r="C238" s="107" t="s">
        <v>64</v>
      </c>
      <c r="D238" s="65" t="s">
        <v>17</v>
      </c>
      <c r="E238" s="51">
        <v>-295</v>
      </c>
      <c r="F238" s="130">
        <v>-7774</v>
      </c>
      <c r="G238" s="51">
        <v>-295</v>
      </c>
      <c r="H238" s="173">
        <v>-7774</v>
      </c>
    </row>
    <row r="239" spans="1:8">
      <c r="A239" s="450"/>
      <c r="B239" s="212">
        <v>530052</v>
      </c>
      <c r="C239" s="107" t="s">
        <v>65</v>
      </c>
      <c r="D239" s="65" t="s">
        <v>32</v>
      </c>
      <c r="E239" s="51">
        <v>-336</v>
      </c>
      <c r="F239" s="130">
        <v>21938</v>
      </c>
      <c r="G239" s="51">
        <v>-336</v>
      </c>
      <c r="H239" s="173">
        <v>21938</v>
      </c>
    </row>
    <row r="240" spans="1:8" ht="57" customHeight="1">
      <c r="A240" s="450"/>
      <c r="B240" s="212">
        <v>530052</v>
      </c>
      <c r="C240" s="107" t="s">
        <v>66</v>
      </c>
      <c r="D240" s="65" t="s">
        <v>168</v>
      </c>
      <c r="E240" s="51">
        <v>-173</v>
      </c>
      <c r="F240" s="130">
        <v>26887.000000000233</v>
      </c>
      <c r="G240" s="51">
        <v>-173</v>
      </c>
      <c r="H240" s="173">
        <v>26887.000000000233</v>
      </c>
    </row>
    <row r="241" spans="1:14" ht="37.5">
      <c r="A241" s="450"/>
      <c r="B241" s="212">
        <v>530052</v>
      </c>
      <c r="C241" s="107" t="s">
        <v>67</v>
      </c>
      <c r="D241" s="65" t="s">
        <v>152</v>
      </c>
      <c r="E241" s="51">
        <v>441</v>
      </c>
      <c r="F241" s="130">
        <v>86877</v>
      </c>
      <c r="G241" s="51">
        <v>441</v>
      </c>
      <c r="H241" s="173">
        <v>86877</v>
      </c>
    </row>
    <row r="242" spans="1:14">
      <c r="A242" s="450"/>
      <c r="B242" s="212">
        <v>530052</v>
      </c>
      <c r="C242" s="107" t="s">
        <v>78</v>
      </c>
      <c r="D242" s="65" t="s">
        <v>79</v>
      </c>
      <c r="E242" s="51">
        <v>38</v>
      </c>
      <c r="F242" s="130">
        <v>26600</v>
      </c>
      <c r="G242" s="51">
        <v>38</v>
      </c>
      <c r="H242" s="173">
        <v>26600</v>
      </c>
    </row>
    <row r="243" spans="1:14" ht="37.5">
      <c r="A243" s="450"/>
      <c r="B243" s="213">
        <v>530052</v>
      </c>
      <c r="C243" s="107" t="s">
        <v>153</v>
      </c>
      <c r="D243" s="65" t="s">
        <v>142</v>
      </c>
      <c r="E243" s="51">
        <v>15</v>
      </c>
      <c r="F243" s="130">
        <v>38652.75</v>
      </c>
      <c r="G243" s="51">
        <v>15</v>
      </c>
      <c r="H243" s="173">
        <v>38652.75</v>
      </c>
    </row>
    <row r="244" spans="1:14">
      <c r="A244" s="114">
        <v>21</v>
      </c>
      <c r="B244" s="211">
        <v>530055</v>
      </c>
      <c r="C244" s="50" t="s">
        <v>165</v>
      </c>
      <c r="D244" s="127" t="s">
        <v>184</v>
      </c>
      <c r="E244" s="128">
        <f>E245</f>
        <v>0</v>
      </c>
      <c r="F244" s="129">
        <f t="shared" ref="F244:H244" si="7">F245</f>
        <v>0</v>
      </c>
      <c r="G244" s="128">
        <f t="shared" si="7"/>
        <v>-251</v>
      </c>
      <c r="H244" s="172">
        <f t="shared" si="7"/>
        <v>-51062.836000000127</v>
      </c>
      <c r="M244" s="385"/>
      <c r="N244" s="296"/>
    </row>
    <row r="245" spans="1:14">
      <c r="A245" s="240"/>
      <c r="B245" s="113">
        <v>530055</v>
      </c>
      <c r="C245" s="83" t="s">
        <v>51</v>
      </c>
      <c r="D245" s="65" t="s">
        <v>154</v>
      </c>
      <c r="E245" s="51">
        <v>0</v>
      </c>
      <c r="F245" s="130">
        <v>0</v>
      </c>
      <c r="G245" s="51">
        <v>-251</v>
      </c>
      <c r="H245" s="173">
        <v>-51062.836000000127</v>
      </c>
    </row>
    <row r="246" spans="1:14">
      <c r="A246" s="114">
        <v>22</v>
      </c>
      <c r="B246" s="114">
        <v>530114</v>
      </c>
      <c r="C246" s="50" t="s">
        <v>165</v>
      </c>
      <c r="D246" s="127" t="s">
        <v>185</v>
      </c>
      <c r="E246" s="128">
        <f>E247</f>
        <v>0</v>
      </c>
      <c r="F246" s="129">
        <f t="shared" ref="F246:H246" si="8">F247</f>
        <v>0</v>
      </c>
      <c r="G246" s="128">
        <f t="shared" si="8"/>
        <v>-16</v>
      </c>
      <c r="H246" s="172">
        <f t="shared" si="8"/>
        <v>-5738.0239999999976</v>
      </c>
    </row>
    <row r="247" spans="1:14">
      <c r="A247" s="241"/>
      <c r="B247" s="113">
        <v>530114</v>
      </c>
      <c r="C247" s="83" t="s">
        <v>73</v>
      </c>
      <c r="D247" s="65" t="s">
        <v>13</v>
      </c>
      <c r="E247" s="51">
        <v>0</v>
      </c>
      <c r="F247" s="130">
        <v>0</v>
      </c>
      <c r="G247" s="51">
        <v>-16</v>
      </c>
      <c r="H247" s="173">
        <v>-5738.0239999999976</v>
      </c>
    </row>
    <row r="248" spans="1:14" ht="37.5">
      <c r="A248" s="114">
        <v>23</v>
      </c>
      <c r="B248" s="210">
        <v>530133</v>
      </c>
      <c r="C248" s="50" t="s">
        <v>165</v>
      </c>
      <c r="D248" s="127" t="s">
        <v>186</v>
      </c>
      <c r="E248" s="128">
        <f>SUM(E249:E255)</f>
        <v>0</v>
      </c>
      <c r="F248" s="129">
        <f t="shared" ref="F248:H248" si="9">SUM(F249:F255)</f>
        <v>0</v>
      </c>
      <c r="G248" s="128">
        <f t="shared" si="9"/>
        <v>-31</v>
      </c>
      <c r="H248" s="172">
        <f t="shared" si="9"/>
        <v>-14308.187999999998</v>
      </c>
    </row>
    <row r="249" spans="1:14">
      <c r="A249" s="451"/>
      <c r="B249" s="112">
        <v>530133</v>
      </c>
      <c r="C249" s="107" t="s">
        <v>52</v>
      </c>
      <c r="D249" s="65" t="s">
        <v>6</v>
      </c>
      <c r="E249" s="51">
        <v>0</v>
      </c>
      <c r="F249" s="130">
        <v>0</v>
      </c>
      <c r="G249" s="51">
        <v>-1</v>
      </c>
      <c r="H249" s="173">
        <v>-360.72</v>
      </c>
    </row>
    <row r="250" spans="1:14">
      <c r="A250" s="450"/>
      <c r="B250" s="212">
        <v>530133</v>
      </c>
      <c r="C250" s="107" t="s">
        <v>61</v>
      </c>
      <c r="D250" s="65" t="s">
        <v>16</v>
      </c>
      <c r="E250" s="51">
        <v>0</v>
      </c>
      <c r="F250" s="130">
        <v>0</v>
      </c>
      <c r="G250" s="51">
        <v>-2</v>
      </c>
      <c r="H250" s="173">
        <v>-419.72699999999895</v>
      </c>
    </row>
    <row r="251" spans="1:14">
      <c r="A251" s="450"/>
      <c r="B251" s="212">
        <v>530133</v>
      </c>
      <c r="C251" s="107" t="s">
        <v>62</v>
      </c>
      <c r="D251" s="65" t="s">
        <v>14</v>
      </c>
      <c r="E251" s="51">
        <v>0</v>
      </c>
      <c r="F251" s="130">
        <v>0</v>
      </c>
      <c r="G251" s="51">
        <v>-5</v>
      </c>
      <c r="H251" s="173">
        <v>-1352.0320000000011</v>
      </c>
    </row>
    <row r="252" spans="1:14">
      <c r="A252" s="450"/>
      <c r="B252" s="212">
        <v>530133</v>
      </c>
      <c r="C252" s="107" t="s">
        <v>64</v>
      </c>
      <c r="D252" s="65" t="s">
        <v>17</v>
      </c>
      <c r="E252" s="51">
        <v>0</v>
      </c>
      <c r="F252" s="130">
        <v>0</v>
      </c>
      <c r="G252" s="51">
        <v>-6</v>
      </c>
      <c r="H252" s="173">
        <v>-1585.0450000000001</v>
      </c>
    </row>
    <row r="253" spans="1:14">
      <c r="A253" s="450"/>
      <c r="B253" s="212">
        <v>530133</v>
      </c>
      <c r="C253" s="107" t="s">
        <v>65</v>
      </c>
      <c r="D253" s="65" t="s">
        <v>32</v>
      </c>
      <c r="E253" s="51">
        <v>0</v>
      </c>
      <c r="F253" s="130">
        <v>0</v>
      </c>
      <c r="G253" s="51">
        <v>-5</v>
      </c>
      <c r="H253" s="173">
        <v>-2607.8719999999994</v>
      </c>
    </row>
    <row r="254" spans="1:14" ht="37.5">
      <c r="A254" s="450"/>
      <c r="B254" s="212">
        <v>530133</v>
      </c>
      <c r="C254" s="107" t="s">
        <v>67</v>
      </c>
      <c r="D254" s="65" t="s">
        <v>152</v>
      </c>
      <c r="E254" s="51">
        <v>0</v>
      </c>
      <c r="F254" s="130">
        <v>0</v>
      </c>
      <c r="G254" s="51">
        <v>-1</v>
      </c>
      <c r="H254" s="173">
        <v>-263.19200000000001</v>
      </c>
    </row>
    <row r="255" spans="1:14">
      <c r="A255" s="450"/>
      <c r="B255" s="213">
        <v>530133</v>
      </c>
      <c r="C255" s="107" t="s">
        <v>78</v>
      </c>
      <c r="D255" s="65" t="s">
        <v>79</v>
      </c>
      <c r="E255" s="51">
        <v>0</v>
      </c>
      <c r="F255" s="130">
        <v>0</v>
      </c>
      <c r="G255" s="51">
        <v>-11</v>
      </c>
      <c r="H255" s="173">
        <v>-7719.5999999999985</v>
      </c>
    </row>
    <row r="256" spans="1:14" ht="37.5">
      <c r="A256" s="114">
        <v>24</v>
      </c>
      <c r="B256" s="214">
        <v>530141</v>
      </c>
      <c r="C256" s="50" t="s">
        <v>165</v>
      </c>
      <c r="D256" s="127" t="s">
        <v>187</v>
      </c>
      <c r="E256" s="128">
        <f>SUM(E257:E259)</f>
        <v>100</v>
      </c>
      <c r="F256" s="129">
        <f t="shared" ref="F256:H256" si="10">SUM(F257:F259)</f>
        <v>38100</v>
      </c>
      <c r="G256" s="128">
        <f t="shared" si="10"/>
        <v>100</v>
      </c>
      <c r="H256" s="172">
        <f t="shared" si="10"/>
        <v>38100</v>
      </c>
    </row>
    <row r="257" spans="1:12">
      <c r="A257" s="451"/>
      <c r="B257" s="112">
        <v>530141</v>
      </c>
      <c r="C257" s="107" t="s">
        <v>84</v>
      </c>
      <c r="D257" s="65" t="s">
        <v>85</v>
      </c>
      <c r="E257" s="51">
        <v>250</v>
      </c>
      <c r="F257" s="130">
        <v>145500</v>
      </c>
      <c r="G257" s="51">
        <v>250</v>
      </c>
      <c r="H257" s="173">
        <v>145500</v>
      </c>
    </row>
    <row r="258" spans="1:12">
      <c r="A258" s="450"/>
      <c r="B258" s="212">
        <v>530141</v>
      </c>
      <c r="C258" s="107" t="s">
        <v>80</v>
      </c>
      <c r="D258" s="65" t="s">
        <v>81</v>
      </c>
      <c r="E258" s="51">
        <v>100</v>
      </c>
      <c r="F258" s="130">
        <v>67600</v>
      </c>
      <c r="G258" s="51">
        <v>100</v>
      </c>
      <c r="H258" s="173">
        <v>67600</v>
      </c>
    </row>
    <row r="259" spans="1:12">
      <c r="A259" s="450"/>
      <c r="B259" s="213">
        <v>530141</v>
      </c>
      <c r="C259" s="107" t="s">
        <v>78</v>
      </c>
      <c r="D259" s="65" t="s">
        <v>79</v>
      </c>
      <c r="E259" s="51">
        <v>-250</v>
      </c>
      <c r="F259" s="130">
        <v>-175000</v>
      </c>
      <c r="G259" s="51">
        <v>-250</v>
      </c>
      <c r="H259" s="173">
        <v>-175000</v>
      </c>
    </row>
    <row r="260" spans="1:12">
      <c r="A260" s="114">
        <v>25</v>
      </c>
      <c r="B260" s="214">
        <v>530153</v>
      </c>
      <c r="C260" s="50" t="s">
        <v>165</v>
      </c>
      <c r="D260" s="127" t="s">
        <v>266</v>
      </c>
      <c r="E260" s="128">
        <f>SUM(E261:E263)</f>
        <v>0</v>
      </c>
      <c r="F260" s="129" t="s">
        <v>174</v>
      </c>
      <c r="G260" s="128">
        <f t="shared" ref="G260" si="11">SUM(G261:G263)</f>
        <v>1250</v>
      </c>
      <c r="H260" s="172" t="s">
        <v>174</v>
      </c>
    </row>
    <row r="261" spans="1:12">
      <c r="A261" s="447"/>
      <c r="B261" s="389">
        <v>530153</v>
      </c>
      <c r="C261" s="408" t="s">
        <v>88</v>
      </c>
      <c r="D261" s="409" t="s">
        <v>89</v>
      </c>
      <c r="E261" s="51">
        <v>0</v>
      </c>
      <c r="F261" s="130" t="s">
        <v>174</v>
      </c>
      <c r="G261" s="411">
        <v>472</v>
      </c>
      <c r="H261" s="173" t="s">
        <v>174</v>
      </c>
    </row>
    <row r="262" spans="1:12" ht="37.5">
      <c r="A262" s="448"/>
      <c r="B262" s="392">
        <v>530153</v>
      </c>
      <c r="C262" s="408" t="s">
        <v>91</v>
      </c>
      <c r="D262" s="410" t="s">
        <v>15</v>
      </c>
      <c r="E262" s="51">
        <v>0</v>
      </c>
      <c r="F262" s="130" t="s">
        <v>174</v>
      </c>
      <c r="G262" s="411">
        <v>584</v>
      </c>
      <c r="H262" s="173" t="s">
        <v>174</v>
      </c>
    </row>
    <row r="263" spans="1:12">
      <c r="A263" s="449"/>
      <c r="B263" s="400">
        <v>530153</v>
      </c>
      <c r="C263" s="408" t="s">
        <v>61</v>
      </c>
      <c r="D263" s="398" t="s">
        <v>16</v>
      </c>
      <c r="E263" s="51">
        <v>0</v>
      </c>
      <c r="F263" s="130" t="s">
        <v>174</v>
      </c>
      <c r="G263" s="411">
        <v>194</v>
      </c>
      <c r="H263" s="173" t="s">
        <v>174</v>
      </c>
    </row>
    <row r="264" spans="1:12">
      <c r="A264" s="114">
        <v>26</v>
      </c>
      <c r="B264" s="211">
        <v>530154</v>
      </c>
      <c r="C264" s="50" t="s">
        <v>165</v>
      </c>
      <c r="D264" s="127" t="s">
        <v>188</v>
      </c>
      <c r="E264" s="128">
        <f>E265</f>
        <v>0</v>
      </c>
      <c r="F264" s="129">
        <f t="shared" ref="F264:H264" si="12">F265</f>
        <v>0</v>
      </c>
      <c r="G264" s="128">
        <f t="shared" si="12"/>
        <v>-1</v>
      </c>
      <c r="H264" s="172">
        <f t="shared" si="12"/>
        <v>-166.63300000000072</v>
      </c>
    </row>
    <row r="265" spans="1:12">
      <c r="A265" s="271"/>
      <c r="B265" s="113">
        <v>530154</v>
      </c>
      <c r="C265" s="83" t="s">
        <v>54</v>
      </c>
      <c r="D265" s="65" t="s">
        <v>12</v>
      </c>
      <c r="E265" s="51">
        <v>0</v>
      </c>
      <c r="F265" s="130">
        <v>0</v>
      </c>
      <c r="G265" s="51">
        <v>-1</v>
      </c>
      <c r="H265" s="173">
        <v>-166.63300000000072</v>
      </c>
    </row>
    <row r="266" spans="1:12" ht="37.5">
      <c r="A266" s="114">
        <v>27</v>
      </c>
      <c r="B266" s="210">
        <v>530156</v>
      </c>
      <c r="C266" s="50" t="s">
        <v>165</v>
      </c>
      <c r="D266" s="127" t="s">
        <v>189</v>
      </c>
      <c r="E266" s="128">
        <f>SUM(E267:E268)</f>
        <v>0</v>
      </c>
      <c r="F266" s="129">
        <f t="shared" ref="F266:H266" si="13">SUM(F267:F268)</f>
        <v>0</v>
      </c>
      <c r="G266" s="128">
        <f t="shared" si="13"/>
        <v>-118</v>
      </c>
      <c r="H266" s="172">
        <f t="shared" si="13"/>
        <v>-15379.19</v>
      </c>
    </row>
    <row r="267" spans="1:12">
      <c r="A267" s="451"/>
      <c r="B267" s="112">
        <v>530156</v>
      </c>
      <c r="C267" s="107" t="s">
        <v>49</v>
      </c>
      <c r="D267" s="65" t="s">
        <v>4</v>
      </c>
      <c r="E267" s="51">
        <v>0</v>
      </c>
      <c r="F267" s="130">
        <v>0</v>
      </c>
      <c r="G267" s="51">
        <v>-14</v>
      </c>
      <c r="H267" s="173">
        <v>-3383.65</v>
      </c>
      <c r="J267" s="288"/>
      <c r="K267" s="296"/>
      <c r="L267" s="296"/>
    </row>
    <row r="268" spans="1:12">
      <c r="A268" s="450"/>
      <c r="B268" s="213">
        <v>530156</v>
      </c>
      <c r="C268" s="107" t="s">
        <v>88</v>
      </c>
      <c r="D268" s="65" t="s">
        <v>89</v>
      </c>
      <c r="E268" s="51">
        <v>0</v>
      </c>
      <c r="F268" s="130">
        <v>0</v>
      </c>
      <c r="G268" s="51">
        <v>-104</v>
      </c>
      <c r="H268" s="173">
        <v>-11995.54</v>
      </c>
      <c r="J268" s="288"/>
      <c r="K268" s="296"/>
      <c r="L268" s="296"/>
    </row>
    <row r="269" spans="1:12">
      <c r="A269" s="114">
        <v>28</v>
      </c>
      <c r="B269" s="210">
        <v>530157</v>
      </c>
      <c r="C269" s="50" t="s">
        <v>165</v>
      </c>
      <c r="D269" s="127" t="s">
        <v>190</v>
      </c>
      <c r="E269" s="128">
        <f>SUM(E270:E273)</f>
        <v>0</v>
      </c>
      <c r="F269" s="129">
        <f t="shared" ref="F269:H269" si="14">SUM(F270:F273)</f>
        <v>-327</v>
      </c>
      <c r="G269" s="128">
        <f t="shared" si="14"/>
        <v>0</v>
      </c>
      <c r="H269" s="172">
        <f t="shared" si="14"/>
        <v>-327</v>
      </c>
    </row>
    <row r="270" spans="1:12">
      <c r="A270" s="451"/>
      <c r="B270" s="112">
        <v>530157</v>
      </c>
      <c r="C270" s="107" t="s">
        <v>52</v>
      </c>
      <c r="D270" s="65" t="s">
        <v>6</v>
      </c>
      <c r="E270" s="51">
        <v>9</v>
      </c>
      <c r="F270" s="130">
        <v>2430</v>
      </c>
      <c r="G270" s="51">
        <v>9</v>
      </c>
      <c r="H270" s="173">
        <v>2430</v>
      </c>
    </row>
    <row r="271" spans="1:12">
      <c r="A271" s="450"/>
      <c r="B271" s="212">
        <v>530157</v>
      </c>
      <c r="C271" s="107" t="s">
        <v>61</v>
      </c>
      <c r="D271" s="65" t="s">
        <v>16</v>
      </c>
      <c r="E271" s="51">
        <v>9</v>
      </c>
      <c r="F271" s="130">
        <v>2133</v>
      </c>
      <c r="G271" s="51">
        <v>9</v>
      </c>
      <c r="H271" s="173">
        <v>2133</v>
      </c>
    </row>
    <row r="272" spans="1:12">
      <c r="A272" s="450"/>
      <c r="B272" s="212">
        <v>530157</v>
      </c>
      <c r="C272" s="107" t="s">
        <v>62</v>
      </c>
      <c r="D272" s="65" t="s">
        <v>14</v>
      </c>
      <c r="E272" s="51">
        <v>-24</v>
      </c>
      <c r="F272" s="130">
        <v>-6072</v>
      </c>
      <c r="G272" s="51">
        <v>-24</v>
      </c>
      <c r="H272" s="173">
        <v>-6072</v>
      </c>
    </row>
    <row r="273" spans="1:8" ht="37.5">
      <c r="A273" s="450"/>
      <c r="B273" s="213">
        <v>530157</v>
      </c>
      <c r="C273" s="107" t="s">
        <v>67</v>
      </c>
      <c r="D273" s="65" t="s">
        <v>152</v>
      </c>
      <c r="E273" s="51">
        <v>6</v>
      </c>
      <c r="F273" s="130">
        <v>1182</v>
      </c>
      <c r="G273" s="51">
        <v>6</v>
      </c>
      <c r="H273" s="173">
        <v>1182</v>
      </c>
    </row>
    <row r="274" spans="1:8">
      <c r="A274" s="114">
        <v>29</v>
      </c>
      <c r="B274" s="211">
        <v>530158</v>
      </c>
      <c r="C274" s="50" t="s">
        <v>165</v>
      </c>
      <c r="D274" s="127" t="s">
        <v>191</v>
      </c>
      <c r="E274" s="128">
        <f>E275</f>
        <v>0</v>
      </c>
      <c r="F274" s="129">
        <f t="shared" ref="F274:H274" si="15">F275</f>
        <v>0</v>
      </c>
      <c r="G274" s="128">
        <f t="shared" si="15"/>
        <v>-59</v>
      </c>
      <c r="H274" s="172">
        <f t="shared" si="15"/>
        <v>-19440.62</v>
      </c>
    </row>
    <row r="275" spans="1:8" ht="58.5" customHeight="1">
      <c r="A275" s="272"/>
      <c r="B275" s="113">
        <v>530158</v>
      </c>
      <c r="C275" s="83" t="s">
        <v>66</v>
      </c>
      <c r="D275" s="65" t="s">
        <v>168</v>
      </c>
      <c r="E275" s="51">
        <v>0</v>
      </c>
      <c r="F275" s="130">
        <v>0</v>
      </c>
      <c r="G275" s="51">
        <v>-59</v>
      </c>
      <c r="H275" s="173">
        <v>-19440.62</v>
      </c>
    </row>
    <row r="276" spans="1:8" ht="56.25">
      <c r="A276" s="114">
        <v>30</v>
      </c>
      <c r="B276" s="210">
        <v>530171</v>
      </c>
      <c r="C276" s="131" t="s">
        <v>165</v>
      </c>
      <c r="D276" s="127" t="s">
        <v>192</v>
      </c>
      <c r="E276" s="128">
        <f>SUM(E277:E300)</f>
        <v>0</v>
      </c>
      <c r="F276" s="129" t="s">
        <v>174</v>
      </c>
      <c r="G276" s="128">
        <f>SUM(G277:G300)</f>
        <v>8034</v>
      </c>
      <c r="H276" s="172" t="s">
        <v>174</v>
      </c>
    </row>
    <row r="277" spans="1:8">
      <c r="A277" s="444"/>
      <c r="B277" s="112">
        <v>530171</v>
      </c>
      <c r="C277" s="107">
        <v>3</v>
      </c>
      <c r="D277" s="65" t="s">
        <v>77</v>
      </c>
      <c r="E277" s="51">
        <v>0</v>
      </c>
      <c r="F277" s="130" t="s">
        <v>174</v>
      </c>
      <c r="G277" s="51">
        <v>0</v>
      </c>
      <c r="H277" s="173" t="s">
        <v>174</v>
      </c>
    </row>
    <row r="278" spans="1:8">
      <c r="A278" s="445"/>
      <c r="B278" s="212">
        <v>530171</v>
      </c>
      <c r="C278" s="107" t="s">
        <v>49</v>
      </c>
      <c r="D278" s="65" t="s">
        <v>4</v>
      </c>
      <c r="E278" s="51">
        <v>0</v>
      </c>
      <c r="F278" s="130" t="s">
        <v>174</v>
      </c>
      <c r="G278" s="51">
        <v>-9</v>
      </c>
      <c r="H278" s="173" t="s">
        <v>174</v>
      </c>
    </row>
    <row r="279" spans="1:8">
      <c r="A279" s="445"/>
      <c r="B279" s="212">
        <v>530171</v>
      </c>
      <c r="C279" s="107" t="s">
        <v>51</v>
      </c>
      <c r="D279" s="65" t="s">
        <v>154</v>
      </c>
      <c r="E279" s="51">
        <v>0</v>
      </c>
      <c r="F279" s="130" t="s">
        <v>174</v>
      </c>
      <c r="G279" s="51">
        <v>-6</v>
      </c>
      <c r="H279" s="173" t="s">
        <v>174</v>
      </c>
    </row>
    <row r="280" spans="1:8">
      <c r="A280" s="445"/>
      <c r="B280" s="212">
        <v>530171</v>
      </c>
      <c r="C280" s="107">
        <v>28</v>
      </c>
      <c r="D280" s="65" t="s">
        <v>21</v>
      </c>
      <c r="E280" s="51">
        <v>0</v>
      </c>
      <c r="F280" s="130" t="s">
        <v>174</v>
      </c>
      <c r="G280" s="51">
        <v>0</v>
      </c>
      <c r="H280" s="173" t="s">
        <v>174</v>
      </c>
    </row>
    <row r="281" spans="1:8">
      <c r="A281" s="445"/>
      <c r="B281" s="212">
        <v>530171</v>
      </c>
      <c r="C281" s="107" t="s">
        <v>52</v>
      </c>
      <c r="D281" s="65" t="s">
        <v>6</v>
      </c>
      <c r="E281" s="51">
        <v>-150</v>
      </c>
      <c r="F281" s="130" t="s">
        <v>174</v>
      </c>
      <c r="G281" s="51">
        <v>502</v>
      </c>
      <c r="H281" s="173" t="s">
        <v>174</v>
      </c>
    </row>
    <row r="282" spans="1:8">
      <c r="A282" s="445"/>
      <c r="B282" s="212">
        <v>530171</v>
      </c>
      <c r="C282" s="107">
        <v>42</v>
      </c>
      <c r="D282" s="65" t="s">
        <v>89</v>
      </c>
      <c r="E282" s="51">
        <v>0</v>
      </c>
      <c r="F282" s="130" t="s">
        <v>174</v>
      </c>
      <c r="G282" s="51">
        <v>306</v>
      </c>
      <c r="H282" s="173" t="s">
        <v>174</v>
      </c>
    </row>
    <row r="283" spans="1:8">
      <c r="A283" s="445"/>
      <c r="B283" s="212">
        <v>530171</v>
      </c>
      <c r="C283" s="107">
        <v>53</v>
      </c>
      <c r="D283" s="65" t="s">
        <v>12</v>
      </c>
      <c r="E283" s="51">
        <v>0</v>
      </c>
      <c r="F283" s="130" t="s">
        <v>174</v>
      </c>
      <c r="G283" s="51">
        <v>105</v>
      </c>
      <c r="H283" s="173" t="s">
        <v>174</v>
      </c>
    </row>
    <row r="284" spans="1:8">
      <c r="A284" s="445"/>
      <c r="B284" s="212">
        <v>530171</v>
      </c>
      <c r="C284" s="107">
        <v>54</v>
      </c>
      <c r="D284" s="65" t="s">
        <v>28</v>
      </c>
      <c r="E284" s="51">
        <v>0</v>
      </c>
      <c r="F284" s="130" t="s">
        <v>174</v>
      </c>
      <c r="G284" s="51">
        <v>0</v>
      </c>
      <c r="H284" s="173" t="s">
        <v>174</v>
      </c>
    </row>
    <row r="285" spans="1:8" ht="37.5">
      <c r="A285" s="445"/>
      <c r="B285" s="212">
        <v>530171</v>
      </c>
      <c r="C285" s="107">
        <v>57</v>
      </c>
      <c r="D285" s="65" t="s">
        <v>15</v>
      </c>
      <c r="E285" s="51">
        <v>0</v>
      </c>
      <c r="F285" s="130" t="s">
        <v>174</v>
      </c>
      <c r="G285" s="51">
        <v>666</v>
      </c>
      <c r="H285" s="173" t="s">
        <v>174</v>
      </c>
    </row>
    <row r="286" spans="1:8">
      <c r="A286" s="445"/>
      <c r="B286" s="212">
        <v>530171</v>
      </c>
      <c r="C286" s="107">
        <v>60</v>
      </c>
      <c r="D286" s="65" t="s">
        <v>24</v>
      </c>
      <c r="E286" s="51">
        <v>0</v>
      </c>
      <c r="F286" s="130" t="s">
        <v>174</v>
      </c>
      <c r="G286" s="51">
        <v>1</v>
      </c>
      <c r="H286" s="173" t="s">
        <v>174</v>
      </c>
    </row>
    <row r="287" spans="1:8">
      <c r="A287" s="445"/>
      <c r="B287" s="212">
        <v>530171</v>
      </c>
      <c r="C287" s="107">
        <v>65</v>
      </c>
      <c r="D287" s="65" t="s">
        <v>27</v>
      </c>
      <c r="E287" s="51">
        <v>0</v>
      </c>
      <c r="F287" s="130" t="s">
        <v>174</v>
      </c>
      <c r="G287" s="51">
        <v>427</v>
      </c>
      <c r="H287" s="173" t="s">
        <v>174</v>
      </c>
    </row>
    <row r="288" spans="1:8">
      <c r="A288" s="445"/>
      <c r="B288" s="212">
        <v>530171</v>
      </c>
      <c r="C288" s="107">
        <v>68</v>
      </c>
      <c r="D288" s="65" t="s">
        <v>13</v>
      </c>
      <c r="E288" s="51">
        <v>0</v>
      </c>
      <c r="F288" s="130" t="s">
        <v>174</v>
      </c>
      <c r="G288" s="51">
        <v>1263</v>
      </c>
      <c r="H288" s="173" t="s">
        <v>174</v>
      </c>
    </row>
    <row r="289" spans="1:8">
      <c r="A289" s="445"/>
      <c r="B289" s="212">
        <v>530171</v>
      </c>
      <c r="C289" s="107" t="s">
        <v>60</v>
      </c>
      <c r="D289" s="65" t="s">
        <v>8</v>
      </c>
      <c r="E289" s="51">
        <v>50</v>
      </c>
      <c r="F289" s="130" t="s">
        <v>174</v>
      </c>
      <c r="G289" s="51">
        <v>-13</v>
      </c>
      <c r="H289" s="173" t="s">
        <v>174</v>
      </c>
    </row>
    <row r="290" spans="1:8">
      <c r="A290" s="445"/>
      <c r="B290" s="212">
        <v>530171</v>
      </c>
      <c r="C290" s="107">
        <v>81</v>
      </c>
      <c r="D290" s="65" t="s">
        <v>39</v>
      </c>
      <c r="E290" s="51">
        <v>50</v>
      </c>
      <c r="F290" s="130" t="s">
        <v>174</v>
      </c>
      <c r="G290" s="51">
        <v>-22</v>
      </c>
      <c r="H290" s="173" t="s">
        <v>174</v>
      </c>
    </row>
    <row r="291" spans="1:8">
      <c r="A291" s="445"/>
      <c r="B291" s="212">
        <v>530171</v>
      </c>
      <c r="C291" s="107">
        <v>85</v>
      </c>
      <c r="D291" s="65" t="s">
        <v>85</v>
      </c>
      <c r="E291" s="51">
        <v>0</v>
      </c>
      <c r="F291" s="130" t="s">
        <v>174</v>
      </c>
      <c r="G291" s="51">
        <v>912</v>
      </c>
      <c r="H291" s="173" t="s">
        <v>174</v>
      </c>
    </row>
    <row r="292" spans="1:8">
      <c r="A292" s="445"/>
      <c r="B292" s="212">
        <v>530171</v>
      </c>
      <c r="C292" s="107" t="s">
        <v>74</v>
      </c>
      <c r="D292" s="65" t="s">
        <v>75</v>
      </c>
      <c r="E292" s="51">
        <v>0</v>
      </c>
      <c r="F292" s="130" t="s">
        <v>174</v>
      </c>
      <c r="G292" s="51">
        <v>-39</v>
      </c>
      <c r="H292" s="173" t="s">
        <v>174</v>
      </c>
    </row>
    <row r="293" spans="1:8">
      <c r="A293" s="445"/>
      <c r="B293" s="212">
        <v>530171</v>
      </c>
      <c r="C293" s="107">
        <v>89</v>
      </c>
      <c r="D293" s="65" t="s">
        <v>81</v>
      </c>
      <c r="E293" s="51">
        <v>0</v>
      </c>
      <c r="F293" s="130" t="s">
        <v>174</v>
      </c>
      <c r="G293" s="51">
        <v>0</v>
      </c>
      <c r="H293" s="173" t="s">
        <v>174</v>
      </c>
    </row>
    <row r="294" spans="1:8">
      <c r="A294" s="445"/>
      <c r="B294" s="212">
        <v>530171</v>
      </c>
      <c r="C294" s="107" t="s">
        <v>61</v>
      </c>
      <c r="D294" s="65" t="s">
        <v>16</v>
      </c>
      <c r="E294" s="51">
        <v>0</v>
      </c>
      <c r="F294" s="130" t="s">
        <v>174</v>
      </c>
      <c r="G294" s="51">
        <v>2041</v>
      </c>
      <c r="H294" s="173" t="s">
        <v>174</v>
      </c>
    </row>
    <row r="295" spans="1:8">
      <c r="A295" s="445"/>
      <c r="B295" s="212">
        <v>530171</v>
      </c>
      <c r="C295" s="107">
        <v>100</v>
      </c>
      <c r="D295" s="65" t="s">
        <v>14</v>
      </c>
      <c r="E295" s="51">
        <v>0</v>
      </c>
      <c r="F295" s="130" t="s">
        <v>174</v>
      </c>
      <c r="G295" s="51">
        <v>0</v>
      </c>
      <c r="H295" s="173" t="s">
        <v>174</v>
      </c>
    </row>
    <row r="296" spans="1:8">
      <c r="A296" s="445"/>
      <c r="B296" s="212">
        <v>530171</v>
      </c>
      <c r="C296" s="107" t="s">
        <v>63</v>
      </c>
      <c r="D296" s="65" t="s">
        <v>41</v>
      </c>
      <c r="E296" s="51">
        <v>50</v>
      </c>
      <c r="F296" s="130" t="s">
        <v>174</v>
      </c>
      <c r="G296" s="51">
        <v>17</v>
      </c>
      <c r="H296" s="173" t="s">
        <v>174</v>
      </c>
    </row>
    <row r="297" spans="1:8">
      <c r="A297" s="445"/>
      <c r="B297" s="212">
        <v>530171</v>
      </c>
      <c r="C297" s="107">
        <v>112</v>
      </c>
      <c r="D297" s="65" t="s">
        <v>17</v>
      </c>
      <c r="E297" s="51">
        <v>0</v>
      </c>
      <c r="F297" s="130" t="s">
        <v>174</v>
      </c>
      <c r="G297" s="51">
        <v>184</v>
      </c>
      <c r="H297" s="173" t="s">
        <v>174</v>
      </c>
    </row>
    <row r="298" spans="1:8">
      <c r="A298" s="445"/>
      <c r="B298" s="212">
        <v>530171</v>
      </c>
      <c r="C298" s="107">
        <v>122</v>
      </c>
      <c r="D298" s="65" t="s">
        <v>32</v>
      </c>
      <c r="E298" s="51">
        <v>0</v>
      </c>
      <c r="F298" s="130" t="s">
        <v>174</v>
      </c>
      <c r="G298" s="51">
        <v>221</v>
      </c>
      <c r="H298" s="173" t="s">
        <v>174</v>
      </c>
    </row>
    <row r="299" spans="1:8">
      <c r="A299" s="445"/>
      <c r="B299" s="212">
        <v>530171</v>
      </c>
      <c r="C299" s="107">
        <v>136</v>
      </c>
      <c r="D299" s="65" t="s">
        <v>303</v>
      </c>
      <c r="E299" s="51">
        <v>0</v>
      </c>
      <c r="F299" s="130" t="s">
        <v>174</v>
      </c>
      <c r="G299" s="51">
        <v>1181</v>
      </c>
      <c r="H299" s="173" t="s">
        <v>174</v>
      </c>
    </row>
    <row r="300" spans="1:8" ht="37.5">
      <c r="A300" s="446"/>
      <c r="B300" s="213">
        <v>530171</v>
      </c>
      <c r="C300" s="107">
        <v>162</v>
      </c>
      <c r="D300" s="65" t="s">
        <v>152</v>
      </c>
      <c r="E300" s="51">
        <v>0</v>
      </c>
      <c r="F300" s="130" t="s">
        <v>174</v>
      </c>
      <c r="G300" s="51">
        <v>297</v>
      </c>
      <c r="H300" s="173" t="s">
        <v>174</v>
      </c>
    </row>
    <row r="301" spans="1:8">
      <c r="A301" s="114">
        <v>31</v>
      </c>
      <c r="B301" s="210">
        <v>530188</v>
      </c>
      <c r="C301" s="131" t="s">
        <v>165</v>
      </c>
      <c r="D301" s="127" t="s">
        <v>29</v>
      </c>
      <c r="E301" s="128">
        <f>SUM(E302:E316)</f>
        <v>0</v>
      </c>
      <c r="F301" s="129" t="s">
        <v>174</v>
      </c>
      <c r="G301" s="128">
        <f>SUM(G302:G316)</f>
        <v>14730</v>
      </c>
      <c r="H301" s="172" t="s">
        <v>174</v>
      </c>
    </row>
    <row r="302" spans="1:8">
      <c r="A302" s="444"/>
      <c r="B302" s="112">
        <v>530188</v>
      </c>
      <c r="C302" s="107">
        <v>3</v>
      </c>
      <c r="D302" s="65" t="s">
        <v>77</v>
      </c>
      <c r="E302" s="51">
        <v>0</v>
      </c>
      <c r="F302" s="130" t="s">
        <v>174</v>
      </c>
      <c r="G302" s="51">
        <v>182</v>
      </c>
      <c r="H302" s="173" t="s">
        <v>174</v>
      </c>
    </row>
    <row r="303" spans="1:8">
      <c r="A303" s="445"/>
      <c r="B303" s="212">
        <v>530188</v>
      </c>
      <c r="C303" s="107" t="s">
        <v>87</v>
      </c>
      <c r="D303" s="65" t="s">
        <v>21</v>
      </c>
      <c r="E303" s="51">
        <v>0</v>
      </c>
      <c r="F303" s="130" t="s">
        <v>174</v>
      </c>
      <c r="G303" s="51">
        <v>3</v>
      </c>
      <c r="H303" s="173" t="s">
        <v>174</v>
      </c>
    </row>
    <row r="304" spans="1:8">
      <c r="A304" s="445"/>
      <c r="B304" s="212">
        <v>530188</v>
      </c>
      <c r="C304" s="107" t="s">
        <v>88</v>
      </c>
      <c r="D304" s="65" t="s">
        <v>89</v>
      </c>
      <c r="E304" s="51">
        <v>0</v>
      </c>
      <c r="F304" s="130" t="s">
        <v>174</v>
      </c>
      <c r="G304" s="51">
        <v>3027</v>
      </c>
      <c r="H304" s="173" t="s">
        <v>174</v>
      </c>
    </row>
    <row r="305" spans="1:8">
      <c r="A305" s="445"/>
      <c r="B305" s="212">
        <v>530188</v>
      </c>
      <c r="C305" s="107" t="s">
        <v>54</v>
      </c>
      <c r="D305" s="65" t="s">
        <v>12</v>
      </c>
      <c r="E305" s="51">
        <v>0</v>
      </c>
      <c r="F305" s="130" t="s">
        <v>174</v>
      </c>
      <c r="G305" s="51">
        <v>453</v>
      </c>
      <c r="H305" s="173" t="s">
        <v>174</v>
      </c>
    </row>
    <row r="306" spans="1:8" ht="37.5">
      <c r="A306" s="445"/>
      <c r="B306" s="212">
        <v>530188</v>
      </c>
      <c r="C306" s="107" t="s">
        <v>91</v>
      </c>
      <c r="D306" s="65" t="s">
        <v>15</v>
      </c>
      <c r="E306" s="51">
        <v>0</v>
      </c>
      <c r="F306" s="130" t="s">
        <v>174</v>
      </c>
      <c r="G306" s="51">
        <v>278</v>
      </c>
      <c r="H306" s="173" t="s">
        <v>174</v>
      </c>
    </row>
    <row r="307" spans="1:8">
      <c r="A307" s="445"/>
      <c r="B307" s="212">
        <v>530188</v>
      </c>
      <c r="C307" s="107" t="s">
        <v>86</v>
      </c>
      <c r="D307" s="65" t="s">
        <v>24</v>
      </c>
      <c r="E307" s="51">
        <v>0</v>
      </c>
      <c r="F307" s="130" t="s">
        <v>174</v>
      </c>
      <c r="G307" s="51">
        <v>673</v>
      </c>
      <c r="H307" s="173" t="s">
        <v>174</v>
      </c>
    </row>
    <row r="308" spans="1:8">
      <c r="A308" s="445"/>
      <c r="B308" s="212">
        <v>530188</v>
      </c>
      <c r="C308" s="107" t="s">
        <v>58</v>
      </c>
      <c r="D308" s="65" t="s">
        <v>27</v>
      </c>
      <c r="E308" s="51">
        <v>0</v>
      </c>
      <c r="F308" s="130" t="s">
        <v>174</v>
      </c>
      <c r="G308" s="51">
        <v>-29</v>
      </c>
      <c r="H308" s="173" t="s">
        <v>174</v>
      </c>
    </row>
    <row r="309" spans="1:8">
      <c r="A309" s="445"/>
      <c r="B309" s="212">
        <v>530188</v>
      </c>
      <c r="C309" s="107" t="s">
        <v>73</v>
      </c>
      <c r="D309" s="65" t="s">
        <v>13</v>
      </c>
      <c r="E309" s="51">
        <v>0</v>
      </c>
      <c r="F309" s="130" t="s">
        <v>174</v>
      </c>
      <c r="G309" s="51">
        <v>2510</v>
      </c>
      <c r="H309" s="173" t="s">
        <v>174</v>
      </c>
    </row>
    <row r="310" spans="1:8">
      <c r="A310" s="445"/>
      <c r="B310" s="212">
        <v>530188</v>
      </c>
      <c r="C310" s="107" t="s">
        <v>84</v>
      </c>
      <c r="D310" s="65" t="s">
        <v>85</v>
      </c>
      <c r="E310" s="51">
        <v>0</v>
      </c>
      <c r="F310" s="130" t="s">
        <v>174</v>
      </c>
      <c r="G310" s="51">
        <v>1885</v>
      </c>
      <c r="H310" s="173" t="s">
        <v>174</v>
      </c>
    </row>
    <row r="311" spans="1:8">
      <c r="A311" s="445"/>
      <c r="B311" s="212">
        <v>530188</v>
      </c>
      <c r="C311" s="107" t="s">
        <v>61</v>
      </c>
      <c r="D311" s="65" t="s">
        <v>16</v>
      </c>
      <c r="E311" s="51">
        <v>0</v>
      </c>
      <c r="F311" s="130" t="s">
        <v>174</v>
      </c>
      <c r="G311" s="51">
        <v>645</v>
      </c>
      <c r="H311" s="173" t="s">
        <v>174</v>
      </c>
    </row>
    <row r="312" spans="1:8">
      <c r="A312" s="445"/>
      <c r="B312" s="212">
        <v>530188</v>
      </c>
      <c r="C312" s="107" t="s">
        <v>62</v>
      </c>
      <c r="D312" s="65" t="s">
        <v>14</v>
      </c>
      <c r="E312" s="51">
        <v>0</v>
      </c>
      <c r="F312" s="130" t="s">
        <v>174</v>
      </c>
      <c r="G312" s="51">
        <v>-33</v>
      </c>
      <c r="H312" s="173" t="s">
        <v>174</v>
      </c>
    </row>
    <row r="313" spans="1:8">
      <c r="A313" s="445"/>
      <c r="B313" s="212">
        <v>530188</v>
      </c>
      <c r="C313" s="107" t="s">
        <v>64</v>
      </c>
      <c r="D313" s="65" t="s">
        <v>17</v>
      </c>
      <c r="E313" s="51">
        <v>0</v>
      </c>
      <c r="F313" s="130" t="s">
        <v>174</v>
      </c>
      <c r="G313" s="51">
        <v>1834</v>
      </c>
      <c r="H313" s="173" t="s">
        <v>174</v>
      </c>
    </row>
    <row r="314" spans="1:8">
      <c r="A314" s="445"/>
      <c r="B314" s="212">
        <v>530188</v>
      </c>
      <c r="C314" s="107" t="s">
        <v>66</v>
      </c>
      <c r="D314" s="65" t="s">
        <v>18</v>
      </c>
      <c r="E314" s="51">
        <v>0</v>
      </c>
      <c r="F314" s="130" t="s">
        <v>174</v>
      </c>
      <c r="G314" s="51">
        <v>3274</v>
      </c>
      <c r="H314" s="173" t="s">
        <v>174</v>
      </c>
    </row>
    <row r="315" spans="1:8" ht="37.5">
      <c r="A315" s="445"/>
      <c r="B315" s="212">
        <v>530188</v>
      </c>
      <c r="C315" s="107" t="s">
        <v>67</v>
      </c>
      <c r="D315" s="65" t="s">
        <v>152</v>
      </c>
      <c r="E315" s="51">
        <v>0</v>
      </c>
      <c r="F315" s="130" t="s">
        <v>174</v>
      </c>
      <c r="G315" s="51">
        <v>136</v>
      </c>
      <c r="H315" s="173" t="s">
        <v>174</v>
      </c>
    </row>
    <row r="316" spans="1:8">
      <c r="A316" s="446"/>
      <c r="B316" s="213">
        <v>530188</v>
      </c>
      <c r="C316" s="107" t="s">
        <v>78</v>
      </c>
      <c r="D316" s="65" t="s">
        <v>79</v>
      </c>
      <c r="E316" s="51">
        <v>0</v>
      </c>
      <c r="F316" s="130" t="s">
        <v>174</v>
      </c>
      <c r="G316" s="51">
        <v>-108</v>
      </c>
      <c r="H316" s="173" t="s">
        <v>174</v>
      </c>
    </row>
    <row r="317" spans="1:8">
      <c r="A317" s="114">
        <v>32</v>
      </c>
      <c r="B317" s="211">
        <v>530198</v>
      </c>
      <c r="C317" s="50" t="s">
        <v>165</v>
      </c>
      <c r="D317" s="127" t="s">
        <v>240</v>
      </c>
      <c r="E317" s="128">
        <f>E318</f>
        <v>-250</v>
      </c>
      <c r="F317" s="129">
        <f t="shared" ref="F317:H317" si="16">F318</f>
        <v>-59250</v>
      </c>
      <c r="G317" s="128">
        <f t="shared" si="16"/>
        <v>-250</v>
      </c>
      <c r="H317" s="172">
        <f t="shared" si="16"/>
        <v>-59250</v>
      </c>
    </row>
    <row r="318" spans="1:8">
      <c r="A318" s="271"/>
      <c r="B318" s="113">
        <v>530198</v>
      </c>
      <c r="C318" s="83" t="s">
        <v>61</v>
      </c>
      <c r="D318" s="65" t="s">
        <v>16</v>
      </c>
      <c r="E318" s="51">
        <v>-250</v>
      </c>
      <c r="F318" s="130">
        <v>-59250</v>
      </c>
      <c r="G318" s="51">
        <v>-250</v>
      </c>
      <c r="H318" s="173">
        <v>-59250</v>
      </c>
    </row>
    <row r="319" spans="1:8">
      <c r="A319" s="114">
        <v>33</v>
      </c>
      <c r="B319" s="210">
        <v>530200</v>
      </c>
      <c r="C319" s="50" t="s">
        <v>165</v>
      </c>
      <c r="D319" s="127" t="s">
        <v>241</v>
      </c>
      <c r="E319" s="128">
        <f>SUM(E320:E322)</f>
        <v>0</v>
      </c>
      <c r="F319" s="129">
        <f t="shared" ref="F319:H319" si="17">SUM(F320:F322)</f>
        <v>0</v>
      </c>
      <c r="G319" s="128">
        <f t="shared" si="17"/>
        <v>0</v>
      </c>
      <c r="H319" s="172">
        <f t="shared" si="17"/>
        <v>0</v>
      </c>
    </row>
    <row r="320" spans="1:8">
      <c r="A320" s="465"/>
      <c r="B320" s="112">
        <v>530200</v>
      </c>
      <c r="C320" s="107" t="s">
        <v>80</v>
      </c>
      <c r="D320" s="65" t="s">
        <v>81</v>
      </c>
      <c r="E320" s="51">
        <v>-200</v>
      </c>
      <c r="F320" s="130">
        <v>-135200</v>
      </c>
      <c r="G320" s="51">
        <v>-200</v>
      </c>
      <c r="H320" s="173">
        <v>-135200</v>
      </c>
    </row>
    <row r="321" spans="1:11">
      <c r="A321" s="466"/>
      <c r="B321" s="212">
        <v>530200</v>
      </c>
      <c r="C321" s="107" t="s">
        <v>82</v>
      </c>
      <c r="D321" s="65" t="s">
        <v>83</v>
      </c>
      <c r="E321" s="51">
        <v>-200</v>
      </c>
      <c r="F321" s="130">
        <v>-117200</v>
      </c>
      <c r="G321" s="51">
        <v>-200</v>
      </c>
      <c r="H321" s="173">
        <v>-117200</v>
      </c>
    </row>
    <row r="322" spans="1:11">
      <c r="A322" s="466"/>
      <c r="B322" s="213">
        <v>530200</v>
      </c>
      <c r="C322" s="107" t="s">
        <v>78</v>
      </c>
      <c r="D322" s="65" t="s">
        <v>79</v>
      </c>
      <c r="E322" s="51">
        <v>400</v>
      </c>
      <c r="F322" s="130">
        <v>252400</v>
      </c>
      <c r="G322" s="51">
        <v>400</v>
      </c>
      <c r="H322" s="173">
        <v>252400</v>
      </c>
    </row>
    <row r="323" spans="1:11" ht="37.5">
      <c r="A323" s="114">
        <v>34</v>
      </c>
      <c r="B323" s="214">
        <v>530212</v>
      </c>
      <c r="C323" s="50" t="s">
        <v>165</v>
      </c>
      <c r="D323" s="127" t="s">
        <v>242</v>
      </c>
      <c r="E323" s="128">
        <f>SUM(E324:E326)</f>
        <v>0</v>
      </c>
      <c r="F323" s="129">
        <f t="shared" ref="F323:H323" si="18">SUM(F324:F326)</f>
        <v>0</v>
      </c>
      <c r="G323" s="128">
        <f t="shared" si="18"/>
        <v>-59</v>
      </c>
      <c r="H323" s="172">
        <f t="shared" si="18"/>
        <v>-24784.67</v>
      </c>
    </row>
    <row r="324" spans="1:11">
      <c r="A324" s="451"/>
      <c r="B324" s="112">
        <v>530212</v>
      </c>
      <c r="C324" s="107" t="s">
        <v>84</v>
      </c>
      <c r="D324" s="65" t="s">
        <v>85</v>
      </c>
      <c r="E324" s="51">
        <v>0</v>
      </c>
      <c r="F324" s="130">
        <v>0</v>
      </c>
      <c r="G324" s="51">
        <v>-31</v>
      </c>
      <c r="H324" s="173">
        <v>-17968.669999999998</v>
      </c>
      <c r="J324" s="296"/>
      <c r="K324" s="296"/>
    </row>
    <row r="325" spans="1:11">
      <c r="A325" s="450"/>
      <c r="B325" s="212">
        <v>530212</v>
      </c>
      <c r="C325" s="107" t="s">
        <v>61</v>
      </c>
      <c r="D325" s="65" t="s">
        <v>16</v>
      </c>
      <c r="E325" s="51">
        <v>0</v>
      </c>
      <c r="F325" s="130">
        <v>0</v>
      </c>
      <c r="G325" s="51">
        <v>-12</v>
      </c>
      <c r="H325" s="173">
        <v>-2751.81</v>
      </c>
      <c r="K325" s="296"/>
    </row>
    <row r="326" spans="1:11">
      <c r="A326" s="452"/>
      <c r="B326" s="213">
        <v>530212</v>
      </c>
      <c r="C326" s="107" t="s">
        <v>64</v>
      </c>
      <c r="D326" s="65" t="s">
        <v>17</v>
      </c>
      <c r="E326" s="51">
        <v>0</v>
      </c>
      <c r="F326" s="130">
        <v>0</v>
      </c>
      <c r="G326" s="51">
        <v>-16</v>
      </c>
      <c r="H326" s="173">
        <v>-4064.19</v>
      </c>
      <c r="K326" s="296"/>
    </row>
    <row r="327" spans="1:11" ht="15.75" customHeight="1">
      <c r="A327" s="114">
        <v>35</v>
      </c>
      <c r="B327" s="210">
        <v>530225</v>
      </c>
      <c r="C327" s="131" t="s">
        <v>165</v>
      </c>
      <c r="D327" s="127" t="s">
        <v>193</v>
      </c>
      <c r="E327" s="128">
        <f>SUM(E328:E343)</f>
        <v>0</v>
      </c>
      <c r="F327" s="129" t="s">
        <v>174</v>
      </c>
      <c r="G327" s="128">
        <f>SUM(G328:G343)</f>
        <v>10500</v>
      </c>
      <c r="H327" s="172" t="s">
        <v>174</v>
      </c>
    </row>
    <row r="328" spans="1:11" ht="21" customHeight="1">
      <c r="A328" s="444"/>
      <c r="B328" s="412">
        <v>530225</v>
      </c>
      <c r="C328" s="107">
        <v>3</v>
      </c>
      <c r="D328" s="65" t="s">
        <v>77</v>
      </c>
      <c r="E328" s="51">
        <v>0</v>
      </c>
      <c r="F328" s="130" t="s">
        <v>174</v>
      </c>
      <c r="G328" s="51">
        <v>463</v>
      </c>
      <c r="H328" s="173" t="s">
        <v>174</v>
      </c>
    </row>
    <row r="329" spans="1:11" ht="22.5" customHeight="1">
      <c r="A329" s="445"/>
      <c r="B329" s="212">
        <v>530225</v>
      </c>
      <c r="C329" s="107" t="s">
        <v>52</v>
      </c>
      <c r="D329" s="65" t="s">
        <v>6</v>
      </c>
      <c r="E329" s="51">
        <v>0</v>
      </c>
      <c r="F329" s="130" t="s">
        <v>174</v>
      </c>
      <c r="G329" s="51">
        <v>-392</v>
      </c>
      <c r="H329" s="173" t="s">
        <v>174</v>
      </c>
    </row>
    <row r="330" spans="1:11" ht="22.5" customHeight="1">
      <c r="A330" s="445"/>
      <c r="B330" s="212">
        <v>530225</v>
      </c>
      <c r="C330" s="107" t="s">
        <v>88</v>
      </c>
      <c r="D330" s="65" t="s">
        <v>89</v>
      </c>
      <c r="E330" s="51">
        <v>0</v>
      </c>
      <c r="F330" s="130" t="s">
        <v>174</v>
      </c>
      <c r="G330" s="51">
        <v>1486</v>
      </c>
      <c r="H330" s="173" t="s">
        <v>174</v>
      </c>
    </row>
    <row r="331" spans="1:11" ht="22.5" customHeight="1">
      <c r="A331" s="445"/>
      <c r="B331" s="212">
        <v>530225</v>
      </c>
      <c r="C331" s="107" t="s">
        <v>54</v>
      </c>
      <c r="D331" s="65" t="s">
        <v>12</v>
      </c>
      <c r="E331" s="51"/>
      <c r="F331" s="130"/>
      <c r="G331" s="51">
        <v>1118</v>
      </c>
      <c r="H331" s="173"/>
    </row>
    <row r="332" spans="1:11" ht="37.5">
      <c r="A332" s="445"/>
      <c r="B332" s="212">
        <v>530225</v>
      </c>
      <c r="C332" s="107" t="s">
        <v>91</v>
      </c>
      <c r="D332" s="65" t="s">
        <v>15</v>
      </c>
      <c r="E332" s="51">
        <v>0</v>
      </c>
      <c r="F332" s="130" t="s">
        <v>174</v>
      </c>
      <c r="G332" s="51">
        <v>76</v>
      </c>
      <c r="H332" s="173" t="s">
        <v>174</v>
      </c>
    </row>
    <row r="333" spans="1:11">
      <c r="A333" s="445"/>
      <c r="B333" s="212">
        <v>530225</v>
      </c>
      <c r="C333" s="107" t="s">
        <v>86</v>
      </c>
      <c r="D333" s="65" t="s">
        <v>24</v>
      </c>
      <c r="E333" s="51">
        <v>0</v>
      </c>
      <c r="F333" s="130" t="s">
        <v>174</v>
      </c>
      <c r="G333" s="51">
        <v>17</v>
      </c>
      <c r="H333" s="173" t="s">
        <v>174</v>
      </c>
    </row>
    <row r="334" spans="1:11">
      <c r="A334" s="445"/>
      <c r="B334" s="212">
        <v>530225</v>
      </c>
      <c r="C334" s="107" t="s">
        <v>58</v>
      </c>
      <c r="D334" s="65" t="s">
        <v>27</v>
      </c>
      <c r="E334" s="51">
        <v>0</v>
      </c>
      <c r="F334" s="130" t="s">
        <v>174</v>
      </c>
      <c r="G334" s="51">
        <v>773</v>
      </c>
      <c r="H334" s="173" t="s">
        <v>174</v>
      </c>
    </row>
    <row r="335" spans="1:11">
      <c r="A335" s="445"/>
      <c r="B335" s="212">
        <v>530225</v>
      </c>
      <c r="C335" s="107" t="s">
        <v>73</v>
      </c>
      <c r="D335" s="65" t="s">
        <v>13</v>
      </c>
      <c r="E335" s="51">
        <v>0</v>
      </c>
      <c r="F335" s="130" t="s">
        <v>174</v>
      </c>
      <c r="G335" s="51">
        <v>2547</v>
      </c>
      <c r="H335" s="173" t="s">
        <v>174</v>
      </c>
    </row>
    <row r="336" spans="1:11">
      <c r="A336" s="445"/>
      <c r="B336" s="212">
        <v>530225</v>
      </c>
      <c r="C336" s="107" t="s">
        <v>84</v>
      </c>
      <c r="D336" s="65" t="s">
        <v>85</v>
      </c>
      <c r="E336" s="51">
        <v>0</v>
      </c>
      <c r="F336" s="130" t="s">
        <v>174</v>
      </c>
      <c r="G336" s="51">
        <v>264</v>
      </c>
      <c r="H336" s="173" t="s">
        <v>174</v>
      </c>
    </row>
    <row r="337" spans="1:8">
      <c r="A337" s="445"/>
      <c r="B337" s="212">
        <v>530225</v>
      </c>
      <c r="C337" s="107" t="s">
        <v>80</v>
      </c>
      <c r="D337" s="65" t="s">
        <v>81</v>
      </c>
      <c r="E337" s="51">
        <v>0</v>
      </c>
      <c r="F337" s="130" t="s">
        <v>174</v>
      </c>
      <c r="G337" s="51">
        <v>54</v>
      </c>
      <c r="H337" s="173" t="s">
        <v>174</v>
      </c>
    </row>
    <row r="338" spans="1:8">
      <c r="A338" s="445"/>
      <c r="B338" s="212">
        <v>530225</v>
      </c>
      <c r="C338" s="107" t="s">
        <v>61</v>
      </c>
      <c r="D338" s="65" t="s">
        <v>16</v>
      </c>
      <c r="E338" s="51">
        <v>0</v>
      </c>
      <c r="F338" s="130" t="s">
        <v>174</v>
      </c>
      <c r="G338" s="51">
        <v>2500</v>
      </c>
      <c r="H338" s="173" t="s">
        <v>174</v>
      </c>
    </row>
    <row r="339" spans="1:8">
      <c r="A339" s="445"/>
      <c r="B339" s="212">
        <v>530225</v>
      </c>
      <c r="C339" s="107">
        <v>112</v>
      </c>
      <c r="D339" s="65" t="s">
        <v>17</v>
      </c>
      <c r="E339" s="51">
        <v>0</v>
      </c>
      <c r="F339" s="130" t="s">
        <v>174</v>
      </c>
      <c r="G339" s="51">
        <v>276</v>
      </c>
      <c r="H339" s="173" t="s">
        <v>174</v>
      </c>
    </row>
    <row r="340" spans="1:8">
      <c r="A340" s="445"/>
      <c r="B340" s="212">
        <v>530225</v>
      </c>
      <c r="C340" s="107" t="s">
        <v>65</v>
      </c>
      <c r="D340" s="65" t="s">
        <v>32</v>
      </c>
      <c r="E340" s="51">
        <v>0</v>
      </c>
      <c r="F340" s="130" t="s">
        <v>174</v>
      </c>
      <c r="G340" s="51">
        <v>206</v>
      </c>
      <c r="H340" s="173" t="s">
        <v>174</v>
      </c>
    </row>
    <row r="341" spans="1:8">
      <c r="A341" s="445"/>
      <c r="B341" s="212">
        <v>530225</v>
      </c>
      <c r="C341" s="107" t="s">
        <v>66</v>
      </c>
      <c r="D341" s="65" t="s">
        <v>18</v>
      </c>
      <c r="E341" s="51">
        <v>0</v>
      </c>
      <c r="F341" s="130" t="s">
        <v>174</v>
      </c>
      <c r="G341" s="51">
        <v>467</v>
      </c>
      <c r="H341" s="173" t="s">
        <v>174</v>
      </c>
    </row>
    <row r="342" spans="1:8" ht="37.5">
      <c r="A342" s="445"/>
      <c r="B342" s="212">
        <v>530225</v>
      </c>
      <c r="C342" s="107">
        <v>162</v>
      </c>
      <c r="D342" s="65" t="s">
        <v>152</v>
      </c>
      <c r="E342" s="51">
        <v>0</v>
      </c>
      <c r="F342" s="130" t="s">
        <v>174</v>
      </c>
      <c r="G342" s="51">
        <v>439</v>
      </c>
      <c r="H342" s="173" t="s">
        <v>174</v>
      </c>
    </row>
    <row r="343" spans="1:8">
      <c r="A343" s="446"/>
      <c r="B343" s="213">
        <v>530225</v>
      </c>
      <c r="C343" s="107" t="s">
        <v>78</v>
      </c>
      <c r="D343" s="65" t="s">
        <v>79</v>
      </c>
      <c r="E343" s="51">
        <v>0</v>
      </c>
      <c r="F343" s="130" t="s">
        <v>174</v>
      </c>
      <c r="G343" s="51">
        <v>206</v>
      </c>
      <c r="H343" s="173" t="s">
        <v>174</v>
      </c>
    </row>
    <row r="344" spans="1:8" ht="37.5">
      <c r="A344" s="114">
        <v>36</v>
      </c>
      <c r="B344" s="211">
        <v>530226</v>
      </c>
      <c r="C344" s="131" t="s">
        <v>165</v>
      </c>
      <c r="D344" s="127" t="s">
        <v>243</v>
      </c>
      <c r="E344" s="128">
        <f>SUM(E345:E354)</f>
        <v>0</v>
      </c>
      <c r="F344" s="129" t="s">
        <v>174</v>
      </c>
      <c r="G344" s="128">
        <f>SUM(G345:G354)</f>
        <v>0</v>
      </c>
      <c r="H344" s="172" t="s">
        <v>174</v>
      </c>
    </row>
    <row r="345" spans="1:8">
      <c r="A345" s="450"/>
      <c r="B345" s="112">
        <v>530226</v>
      </c>
      <c r="C345" s="107" t="s">
        <v>71</v>
      </c>
      <c r="D345" s="65" t="s">
        <v>46</v>
      </c>
      <c r="E345" s="51">
        <v>-60</v>
      </c>
      <c r="F345" s="130" t="s">
        <v>174</v>
      </c>
      <c r="G345" s="51">
        <v>-60</v>
      </c>
      <c r="H345" s="173" t="s">
        <v>174</v>
      </c>
    </row>
    <row r="346" spans="1:8">
      <c r="A346" s="450"/>
      <c r="B346" s="212">
        <v>530226</v>
      </c>
      <c r="C346" s="107" t="s">
        <v>52</v>
      </c>
      <c r="D346" s="65" t="s">
        <v>6</v>
      </c>
      <c r="E346" s="51">
        <v>160</v>
      </c>
      <c r="F346" s="130" t="s">
        <v>174</v>
      </c>
      <c r="G346" s="51">
        <v>160</v>
      </c>
      <c r="H346" s="173" t="s">
        <v>174</v>
      </c>
    </row>
    <row r="347" spans="1:8">
      <c r="A347" s="450"/>
      <c r="B347" s="212">
        <v>530226</v>
      </c>
      <c r="C347" s="107" t="s">
        <v>88</v>
      </c>
      <c r="D347" s="65" t="s">
        <v>89</v>
      </c>
      <c r="E347" s="51">
        <v>-100</v>
      </c>
      <c r="F347" s="130" t="s">
        <v>174</v>
      </c>
      <c r="G347" s="51">
        <v>-100</v>
      </c>
      <c r="H347" s="173" t="s">
        <v>174</v>
      </c>
    </row>
    <row r="348" spans="1:8">
      <c r="A348" s="450"/>
      <c r="B348" s="212">
        <v>530226</v>
      </c>
      <c r="C348" s="107" t="s">
        <v>54</v>
      </c>
      <c r="D348" s="65" t="s">
        <v>12</v>
      </c>
      <c r="E348" s="51">
        <v>350</v>
      </c>
      <c r="F348" s="130" t="s">
        <v>174</v>
      </c>
      <c r="G348" s="51">
        <v>350</v>
      </c>
      <c r="H348" s="173" t="s">
        <v>174</v>
      </c>
    </row>
    <row r="349" spans="1:8">
      <c r="A349" s="450"/>
      <c r="B349" s="212">
        <v>530226</v>
      </c>
      <c r="C349" s="107" t="s">
        <v>58</v>
      </c>
      <c r="D349" s="65" t="s">
        <v>27</v>
      </c>
      <c r="E349" s="51">
        <v>-100</v>
      </c>
      <c r="F349" s="130" t="s">
        <v>174</v>
      </c>
      <c r="G349" s="51">
        <v>-100</v>
      </c>
      <c r="H349" s="173" t="s">
        <v>174</v>
      </c>
    </row>
    <row r="350" spans="1:8">
      <c r="A350" s="450"/>
      <c r="B350" s="212">
        <v>530226</v>
      </c>
      <c r="C350" s="107" t="s">
        <v>60</v>
      </c>
      <c r="D350" s="65" t="s">
        <v>8</v>
      </c>
      <c r="E350" s="51">
        <v>100</v>
      </c>
      <c r="F350" s="130" t="s">
        <v>174</v>
      </c>
      <c r="G350" s="51">
        <v>100</v>
      </c>
      <c r="H350" s="173" t="s">
        <v>174</v>
      </c>
    </row>
    <row r="351" spans="1:8">
      <c r="A351" s="450"/>
      <c r="B351" s="212">
        <v>530226</v>
      </c>
      <c r="C351" s="107" t="s">
        <v>61</v>
      </c>
      <c r="D351" s="65" t="s">
        <v>16</v>
      </c>
      <c r="E351" s="51">
        <v>-650</v>
      </c>
      <c r="F351" s="130" t="s">
        <v>174</v>
      </c>
      <c r="G351" s="51">
        <v>-650</v>
      </c>
      <c r="H351" s="173" t="s">
        <v>174</v>
      </c>
    </row>
    <row r="352" spans="1:8">
      <c r="A352" s="450"/>
      <c r="B352" s="212">
        <v>530226</v>
      </c>
      <c r="C352" s="107" t="s">
        <v>63</v>
      </c>
      <c r="D352" s="65" t="s">
        <v>41</v>
      </c>
      <c r="E352" s="51">
        <v>170</v>
      </c>
      <c r="F352" s="130" t="s">
        <v>174</v>
      </c>
      <c r="G352" s="51">
        <v>170</v>
      </c>
      <c r="H352" s="173" t="s">
        <v>174</v>
      </c>
    </row>
    <row r="353" spans="1:8">
      <c r="A353" s="450"/>
      <c r="B353" s="212">
        <v>530226</v>
      </c>
      <c r="C353" s="107" t="s">
        <v>64</v>
      </c>
      <c r="D353" s="65" t="s">
        <v>17</v>
      </c>
      <c r="E353" s="51">
        <v>-170</v>
      </c>
      <c r="F353" s="130" t="s">
        <v>174</v>
      </c>
      <c r="G353" s="51">
        <v>-170</v>
      </c>
      <c r="H353" s="173" t="s">
        <v>174</v>
      </c>
    </row>
    <row r="354" spans="1:8">
      <c r="A354" s="450"/>
      <c r="B354" s="213">
        <v>530226</v>
      </c>
      <c r="C354" s="107" t="s">
        <v>65</v>
      </c>
      <c r="D354" s="65" t="s">
        <v>32</v>
      </c>
      <c r="E354" s="51">
        <v>300</v>
      </c>
      <c r="F354" s="130" t="s">
        <v>174</v>
      </c>
      <c r="G354" s="51">
        <v>300</v>
      </c>
      <c r="H354" s="173" t="s">
        <v>174</v>
      </c>
    </row>
    <row r="355" spans="1:8">
      <c r="A355" s="114">
        <v>37</v>
      </c>
      <c r="B355" s="211">
        <v>530227</v>
      </c>
      <c r="C355" s="131" t="s">
        <v>165</v>
      </c>
      <c r="D355" s="127" t="s">
        <v>270</v>
      </c>
      <c r="E355" s="128">
        <f>SUM(E356:E377)</f>
        <v>0</v>
      </c>
      <c r="F355" s="129" t="s">
        <v>174</v>
      </c>
      <c r="G355" s="128">
        <f>SUM(G356:G377)</f>
        <v>14283</v>
      </c>
      <c r="H355" s="172" t="s">
        <v>174</v>
      </c>
    </row>
    <row r="356" spans="1:8">
      <c r="A356" s="447"/>
      <c r="B356" s="389">
        <v>530227</v>
      </c>
      <c r="C356" s="413">
        <v>3</v>
      </c>
      <c r="D356" s="391" t="s">
        <v>77</v>
      </c>
      <c r="E356" s="51">
        <v>0</v>
      </c>
      <c r="F356" s="130" t="s">
        <v>174</v>
      </c>
      <c r="G356" s="51">
        <v>168</v>
      </c>
      <c r="H356" s="173" t="s">
        <v>174</v>
      </c>
    </row>
    <row r="357" spans="1:8">
      <c r="A357" s="448"/>
      <c r="B357" s="392">
        <v>530227</v>
      </c>
      <c r="C357" s="405">
        <v>14</v>
      </c>
      <c r="D357" s="396" t="s">
        <v>47</v>
      </c>
      <c r="E357" s="51">
        <v>0</v>
      </c>
      <c r="F357" s="130" t="s">
        <v>174</v>
      </c>
      <c r="G357" s="51">
        <v>5</v>
      </c>
      <c r="H357" s="173" t="s">
        <v>174</v>
      </c>
    </row>
    <row r="358" spans="1:8">
      <c r="A358" s="448"/>
      <c r="B358" s="392">
        <v>530227</v>
      </c>
      <c r="C358" s="414">
        <v>16</v>
      </c>
      <c r="D358" s="394" t="s">
        <v>154</v>
      </c>
      <c r="E358" s="51">
        <v>0</v>
      </c>
      <c r="F358" s="130" t="s">
        <v>174</v>
      </c>
      <c r="G358" s="51">
        <v>410</v>
      </c>
      <c r="H358" s="173" t="s">
        <v>174</v>
      </c>
    </row>
    <row r="359" spans="1:8">
      <c r="A359" s="448"/>
      <c r="B359" s="392">
        <v>530227</v>
      </c>
      <c r="C359" s="414">
        <v>17</v>
      </c>
      <c r="D359" s="394" t="s">
        <v>10</v>
      </c>
      <c r="E359" s="51">
        <v>0</v>
      </c>
      <c r="F359" s="130" t="s">
        <v>174</v>
      </c>
      <c r="G359" s="51">
        <v>121</v>
      </c>
      <c r="H359" s="173" t="s">
        <v>174</v>
      </c>
    </row>
    <row r="360" spans="1:8">
      <c r="A360" s="448"/>
      <c r="B360" s="392">
        <v>530227</v>
      </c>
      <c r="C360" s="405" t="s">
        <v>87</v>
      </c>
      <c r="D360" s="396" t="s">
        <v>21</v>
      </c>
      <c r="E360" s="51">
        <v>0</v>
      </c>
      <c r="F360" s="130" t="s">
        <v>174</v>
      </c>
      <c r="G360" s="51">
        <v>20</v>
      </c>
      <c r="H360" s="173" t="s">
        <v>174</v>
      </c>
    </row>
    <row r="361" spans="1:8">
      <c r="A361" s="448"/>
      <c r="B361" s="392">
        <v>530227</v>
      </c>
      <c r="C361" s="415" t="s">
        <v>52</v>
      </c>
      <c r="D361" s="396" t="s">
        <v>6</v>
      </c>
      <c r="E361" s="51">
        <v>0</v>
      </c>
      <c r="F361" s="130" t="s">
        <v>174</v>
      </c>
      <c r="G361" s="51">
        <v>95</v>
      </c>
      <c r="H361" s="173" t="s">
        <v>174</v>
      </c>
    </row>
    <row r="362" spans="1:8">
      <c r="A362" s="448"/>
      <c r="B362" s="392">
        <v>530227</v>
      </c>
      <c r="C362" s="405" t="s">
        <v>88</v>
      </c>
      <c r="D362" s="394" t="s">
        <v>89</v>
      </c>
      <c r="E362" s="51">
        <v>0</v>
      </c>
      <c r="F362" s="130" t="s">
        <v>174</v>
      </c>
      <c r="G362" s="51">
        <v>5244</v>
      </c>
      <c r="H362" s="173" t="s">
        <v>174</v>
      </c>
    </row>
    <row r="363" spans="1:8">
      <c r="A363" s="448"/>
      <c r="B363" s="392">
        <v>530227</v>
      </c>
      <c r="C363" s="405" t="s">
        <v>54</v>
      </c>
      <c r="D363" s="394" t="s">
        <v>12</v>
      </c>
      <c r="E363" s="51">
        <v>0</v>
      </c>
      <c r="F363" s="130" t="s">
        <v>174</v>
      </c>
      <c r="G363" s="51">
        <v>754</v>
      </c>
      <c r="H363" s="173" t="s">
        <v>174</v>
      </c>
    </row>
    <row r="364" spans="1:8">
      <c r="A364" s="448"/>
      <c r="B364" s="392">
        <v>530227</v>
      </c>
      <c r="C364" s="405">
        <v>56</v>
      </c>
      <c r="D364" s="395" t="s">
        <v>57</v>
      </c>
      <c r="E364" s="51">
        <v>0</v>
      </c>
      <c r="F364" s="130" t="s">
        <v>174</v>
      </c>
      <c r="G364" s="51">
        <v>2</v>
      </c>
      <c r="H364" s="173" t="s">
        <v>174</v>
      </c>
    </row>
    <row r="365" spans="1:8" ht="37.5">
      <c r="A365" s="448"/>
      <c r="B365" s="392">
        <v>530227</v>
      </c>
      <c r="C365" s="405" t="s">
        <v>91</v>
      </c>
      <c r="D365" s="395" t="s">
        <v>15</v>
      </c>
      <c r="E365" s="51">
        <v>0</v>
      </c>
      <c r="F365" s="130" t="s">
        <v>174</v>
      </c>
      <c r="G365" s="51">
        <v>3</v>
      </c>
      <c r="H365" s="173" t="s">
        <v>174</v>
      </c>
    </row>
    <row r="366" spans="1:8">
      <c r="A366" s="448"/>
      <c r="B366" s="392">
        <v>530227</v>
      </c>
      <c r="C366" s="405" t="s">
        <v>86</v>
      </c>
      <c r="D366" s="394" t="s">
        <v>24</v>
      </c>
      <c r="E366" s="51">
        <v>0</v>
      </c>
      <c r="F366" s="130" t="s">
        <v>174</v>
      </c>
      <c r="G366" s="51">
        <v>275</v>
      </c>
      <c r="H366" s="173" t="s">
        <v>174</v>
      </c>
    </row>
    <row r="367" spans="1:8">
      <c r="A367" s="448"/>
      <c r="B367" s="392">
        <v>530227</v>
      </c>
      <c r="C367" s="405" t="s">
        <v>58</v>
      </c>
      <c r="D367" s="396" t="s">
        <v>27</v>
      </c>
      <c r="E367" s="51">
        <v>0</v>
      </c>
      <c r="F367" s="130" t="s">
        <v>174</v>
      </c>
      <c r="G367" s="51">
        <v>380</v>
      </c>
      <c r="H367" s="173" t="s">
        <v>174</v>
      </c>
    </row>
    <row r="368" spans="1:8">
      <c r="A368" s="448"/>
      <c r="B368" s="392">
        <v>530227</v>
      </c>
      <c r="C368" s="405" t="s">
        <v>73</v>
      </c>
      <c r="D368" s="396" t="s">
        <v>13</v>
      </c>
      <c r="E368" s="51">
        <v>0</v>
      </c>
      <c r="F368" s="130" t="s">
        <v>174</v>
      </c>
      <c r="G368" s="51">
        <v>2716</v>
      </c>
      <c r="H368" s="173" t="s">
        <v>174</v>
      </c>
    </row>
    <row r="369" spans="1:8">
      <c r="A369" s="448"/>
      <c r="B369" s="392">
        <v>530227</v>
      </c>
      <c r="C369" s="406" t="s">
        <v>84</v>
      </c>
      <c r="D369" s="398" t="s">
        <v>85</v>
      </c>
      <c r="E369" s="51">
        <v>0</v>
      </c>
      <c r="F369" s="130" t="s">
        <v>174</v>
      </c>
      <c r="G369" s="51">
        <v>0</v>
      </c>
      <c r="H369" s="173" t="s">
        <v>174</v>
      </c>
    </row>
    <row r="370" spans="1:8">
      <c r="A370" s="448"/>
      <c r="B370" s="392">
        <v>530227</v>
      </c>
      <c r="C370" s="405" t="s">
        <v>61</v>
      </c>
      <c r="D370" s="399" t="s">
        <v>16</v>
      </c>
      <c r="E370" s="51">
        <v>0</v>
      </c>
      <c r="F370" s="130" t="s">
        <v>174</v>
      </c>
      <c r="G370" s="51">
        <v>1751</v>
      </c>
      <c r="H370" s="173" t="s">
        <v>174</v>
      </c>
    </row>
    <row r="371" spans="1:8">
      <c r="A371" s="448"/>
      <c r="B371" s="392">
        <v>530227</v>
      </c>
      <c r="C371" s="405" t="s">
        <v>62</v>
      </c>
      <c r="D371" s="399" t="s">
        <v>14</v>
      </c>
      <c r="E371" s="51">
        <v>0</v>
      </c>
      <c r="F371" s="130" t="s">
        <v>174</v>
      </c>
      <c r="G371" s="51">
        <v>241</v>
      </c>
      <c r="H371" s="173" t="s">
        <v>174</v>
      </c>
    </row>
    <row r="372" spans="1:8">
      <c r="A372" s="448"/>
      <c r="B372" s="392">
        <v>530227</v>
      </c>
      <c r="C372" s="405" t="s">
        <v>63</v>
      </c>
      <c r="D372" s="399" t="s">
        <v>41</v>
      </c>
      <c r="E372" s="51">
        <v>0</v>
      </c>
      <c r="F372" s="130" t="s">
        <v>174</v>
      </c>
      <c r="G372" s="51">
        <v>25</v>
      </c>
      <c r="H372" s="173" t="s">
        <v>174</v>
      </c>
    </row>
    <row r="373" spans="1:8">
      <c r="A373" s="448"/>
      <c r="B373" s="392">
        <v>530227</v>
      </c>
      <c r="C373" s="405" t="s">
        <v>64</v>
      </c>
      <c r="D373" s="398" t="s">
        <v>17</v>
      </c>
      <c r="E373" s="51">
        <v>0</v>
      </c>
      <c r="F373" s="130" t="s">
        <v>174</v>
      </c>
      <c r="G373" s="51">
        <v>457</v>
      </c>
      <c r="H373" s="173" t="s">
        <v>174</v>
      </c>
    </row>
    <row r="374" spans="1:8">
      <c r="A374" s="448"/>
      <c r="B374" s="392">
        <v>530227</v>
      </c>
      <c r="C374" s="405" t="s">
        <v>65</v>
      </c>
      <c r="D374" s="399" t="s">
        <v>32</v>
      </c>
      <c r="E374" s="51">
        <v>0</v>
      </c>
      <c r="F374" s="130" t="s">
        <v>174</v>
      </c>
      <c r="G374" s="51">
        <v>105</v>
      </c>
      <c r="H374" s="173" t="s">
        <v>174</v>
      </c>
    </row>
    <row r="375" spans="1:8">
      <c r="A375" s="448"/>
      <c r="B375" s="392">
        <v>530227</v>
      </c>
      <c r="C375" s="405" t="s">
        <v>66</v>
      </c>
      <c r="D375" s="401" t="s">
        <v>18</v>
      </c>
      <c r="E375" s="51">
        <v>0</v>
      </c>
      <c r="F375" s="130" t="s">
        <v>174</v>
      </c>
      <c r="G375" s="51">
        <v>887</v>
      </c>
      <c r="H375" s="173" t="s">
        <v>174</v>
      </c>
    </row>
    <row r="376" spans="1:8">
      <c r="A376" s="448"/>
      <c r="B376" s="392">
        <v>530227</v>
      </c>
      <c r="C376" s="405">
        <v>171</v>
      </c>
      <c r="D376" s="404" t="s">
        <v>79</v>
      </c>
      <c r="E376" s="51">
        <v>0</v>
      </c>
      <c r="F376" s="130" t="s">
        <v>174</v>
      </c>
      <c r="G376" s="51">
        <v>67</v>
      </c>
      <c r="H376" s="173" t="s">
        <v>174</v>
      </c>
    </row>
    <row r="377" spans="1:8" ht="37.5">
      <c r="A377" s="449"/>
      <c r="B377" s="392">
        <v>530227</v>
      </c>
      <c r="C377" s="405" t="s">
        <v>67</v>
      </c>
      <c r="D377" s="404" t="s">
        <v>152</v>
      </c>
      <c r="E377" s="51">
        <v>0</v>
      </c>
      <c r="F377" s="130" t="s">
        <v>174</v>
      </c>
      <c r="G377" s="51">
        <v>557</v>
      </c>
      <c r="H377" s="173" t="s">
        <v>174</v>
      </c>
    </row>
    <row r="378" spans="1:8">
      <c r="A378" s="215">
        <v>38</v>
      </c>
      <c r="B378" s="114">
        <v>530228</v>
      </c>
      <c r="C378" s="131" t="s">
        <v>165</v>
      </c>
      <c r="D378" s="127" t="s">
        <v>194</v>
      </c>
      <c r="E378" s="128">
        <f>SUM(E379:E390)</f>
        <v>900</v>
      </c>
      <c r="F378" s="129" t="s">
        <v>174</v>
      </c>
      <c r="G378" s="128">
        <f>SUM(G379:G390)</f>
        <v>1752</v>
      </c>
      <c r="H378" s="172" t="s">
        <v>174</v>
      </c>
    </row>
    <row r="379" spans="1:8">
      <c r="A379" s="451"/>
      <c r="B379" s="212">
        <v>530228</v>
      </c>
      <c r="C379" s="107">
        <v>3</v>
      </c>
      <c r="D379" s="65" t="s">
        <v>77</v>
      </c>
      <c r="E379" s="51">
        <v>-100</v>
      </c>
      <c r="F379" s="130" t="s">
        <v>174</v>
      </c>
      <c r="G379" s="51">
        <v>-77</v>
      </c>
      <c r="H379" s="173" t="s">
        <v>174</v>
      </c>
    </row>
    <row r="380" spans="1:8">
      <c r="A380" s="450"/>
      <c r="B380" s="212">
        <v>530228</v>
      </c>
      <c r="C380" s="107" t="s">
        <v>51</v>
      </c>
      <c r="D380" s="65" t="s">
        <v>154</v>
      </c>
      <c r="E380" s="51">
        <v>0</v>
      </c>
      <c r="F380" s="130" t="s">
        <v>174</v>
      </c>
      <c r="G380" s="51">
        <v>10</v>
      </c>
      <c r="H380" s="173" t="s">
        <v>174</v>
      </c>
    </row>
    <row r="381" spans="1:8">
      <c r="A381" s="450"/>
      <c r="B381" s="212">
        <v>530228</v>
      </c>
      <c r="C381" s="107" t="s">
        <v>88</v>
      </c>
      <c r="D381" s="65" t="s">
        <v>89</v>
      </c>
      <c r="E381" s="51">
        <v>500</v>
      </c>
      <c r="F381" s="387" t="s">
        <v>174</v>
      </c>
      <c r="G381" s="51">
        <v>781</v>
      </c>
      <c r="H381" s="173" t="s">
        <v>174</v>
      </c>
    </row>
    <row r="382" spans="1:8">
      <c r="A382" s="450"/>
      <c r="B382" s="212"/>
      <c r="C382" s="107" t="s">
        <v>54</v>
      </c>
      <c r="D382" s="65" t="s">
        <v>12</v>
      </c>
      <c r="E382" s="51">
        <v>0</v>
      </c>
      <c r="F382" s="130" t="s">
        <v>174</v>
      </c>
      <c r="G382" s="51">
        <v>22</v>
      </c>
      <c r="H382" s="173" t="s">
        <v>174</v>
      </c>
    </row>
    <row r="383" spans="1:8" ht="37.5">
      <c r="A383" s="450"/>
      <c r="B383" s="212"/>
      <c r="C383" s="107" t="s">
        <v>91</v>
      </c>
      <c r="D383" s="65" t="s">
        <v>15</v>
      </c>
      <c r="E383" s="51">
        <v>0</v>
      </c>
      <c r="F383" s="130" t="s">
        <v>174</v>
      </c>
      <c r="G383" s="51">
        <v>189</v>
      </c>
      <c r="H383" s="173" t="s">
        <v>174</v>
      </c>
    </row>
    <row r="384" spans="1:8">
      <c r="A384" s="450"/>
      <c r="B384" s="212"/>
      <c r="C384" s="107" t="s">
        <v>86</v>
      </c>
      <c r="D384" s="65" t="s">
        <v>24</v>
      </c>
      <c r="E384" s="51">
        <v>0</v>
      </c>
      <c r="F384" s="130" t="s">
        <v>174</v>
      </c>
      <c r="G384" s="51">
        <v>11</v>
      </c>
      <c r="H384" s="173" t="s">
        <v>174</v>
      </c>
    </row>
    <row r="385" spans="1:8">
      <c r="A385" s="450"/>
      <c r="B385" s="212">
        <v>530228</v>
      </c>
      <c r="C385" s="107" t="s">
        <v>84</v>
      </c>
      <c r="D385" s="65" t="s">
        <v>85</v>
      </c>
      <c r="E385" s="51">
        <v>-30</v>
      </c>
      <c r="F385" s="130" t="s">
        <v>174</v>
      </c>
      <c r="G385" s="51">
        <v>-18</v>
      </c>
      <c r="H385" s="173" t="s">
        <v>174</v>
      </c>
    </row>
    <row r="386" spans="1:8">
      <c r="A386" s="450"/>
      <c r="B386" s="212">
        <v>530228</v>
      </c>
      <c r="C386" s="107" t="s">
        <v>80</v>
      </c>
      <c r="D386" s="65" t="s">
        <v>81</v>
      </c>
      <c r="E386" s="51">
        <v>-20</v>
      </c>
      <c r="F386" s="130" t="s">
        <v>174</v>
      </c>
      <c r="G386" s="51">
        <v>-20</v>
      </c>
      <c r="H386" s="173" t="s">
        <v>174</v>
      </c>
    </row>
    <row r="387" spans="1:8">
      <c r="A387" s="450"/>
      <c r="B387" s="212">
        <v>530228</v>
      </c>
      <c r="C387" s="107" t="s">
        <v>61</v>
      </c>
      <c r="D387" s="65" t="s">
        <v>16</v>
      </c>
      <c r="E387" s="51">
        <v>500</v>
      </c>
      <c r="F387" s="130" t="s">
        <v>174</v>
      </c>
      <c r="G387" s="51">
        <v>717</v>
      </c>
      <c r="H387" s="173" t="s">
        <v>174</v>
      </c>
    </row>
    <row r="388" spans="1:8">
      <c r="A388" s="450"/>
      <c r="B388" s="212">
        <v>530228</v>
      </c>
      <c r="C388" s="107" t="s">
        <v>64</v>
      </c>
      <c r="D388" s="65" t="s">
        <v>17</v>
      </c>
      <c r="E388" s="51">
        <v>0</v>
      </c>
      <c r="F388" s="130" t="s">
        <v>174</v>
      </c>
      <c r="G388" s="51">
        <v>51</v>
      </c>
      <c r="H388" s="173" t="s">
        <v>174</v>
      </c>
    </row>
    <row r="389" spans="1:8">
      <c r="A389" s="450"/>
      <c r="B389" s="212">
        <v>530228</v>
      </c>
      <c r="C389" s="107" t="s">
        <v>66</v>
      </c>
      <c r="D389" s="65" t="s">
        <v>18</v>
      </c>
      <c r="E389" s="51">
        <v>70</v>
      </c>
      <c r="F389" s="130" t="s">
        <v>174</v>
      </c>
      <c r="G389" s="51">
        <v>97</v>
      </c>
      <c r="H389" s="173" t="s">
        <v>174</v>
      </c>
    </row>
    <row r="390" spans="1:8">
      <c r="A390" s="450"/>
      <c r="B390" s="212">
        <v>530228</v>
      </c>
      <c r="C390" s="166" t="s">
        <v>78</v>
      </c>
      <c r="D390" s="150" t="s">
        <v>79</v>
      </c>
      <c r="E390" s="167">
        <v>-20</v>
      </c>
      <c r="F390" s="168" t="s">
        <v>174</v>
      </c>
      <c r="G390" s="167">
        <v>-11</v>
      </c>
      <c r="H390" s="174" t="s">
        <v>174</v>
      </c>
    </row>
    <row r="391" spans="1:8">
      <c r="A391" s="464" t="s">
        <v>203</v>
      </c>
      <c r="B391" s="464"/>
      <c r="C391" s="464"/>
      <c r="D391" s="464"/>
      <c r="E391" s="128">
        <f>E12+E21+E38+E70+E73+E87+E95+E105+E117+E128+E173+E190+E223+E225+E228+E244+E246+E248+E256+E264+E266+E269+E274+E276+E301+E317+E319+E323+E327+E344+E378+E148+E160+E177+E211+E260+E355+E76</f>
        <v>6304</v>
      </c>
      <c r="F391" s="129">
        <f>F12+F21+F70+F73+F173+F225+F228+F244+F246+F248+F256+F264+F266+F269+F274+F317+F319+F323+F223</f>
        <v>2019762.7500000002</v>
      </c>
      <c r="G391" s="128">
        <f>G12+G21+G38+G70+G73+G87+G95+G105+G117+G128+G173+G190+G223+G225+G228+G244+G246+G248+G256+G264+G266+G269+G274+G276+G301+G317+G319+G323+G327+G344+G378+G148+G160+G177+G211+G260+G355+G76</f>
        <v>137961</v>
      </c>
      <c r="H391" s="172">
        <f>H12+H21+H70+H73+H173+H225+H228+H244+H246+H248+H256+H264+H266+H269+H274+H317+H319+H323+H223</f>
        <v>694669.70400000003</v>
      </c>
    </row>
    <row r="392" spans="1:8">
      <c r="E392" s="132"/>
    </row>
    <row r="394" spans="1:8">
      <c r="G394" s="385"/>
    </row>
  </sheetData>
  <mergeCells count="41">
    <mergeCell ref="A391:D391"/>
    <mergeCell ref="A13:A20"/>
    <mergeCell ref="A22:A37"/>
    <mergeCell ref="A71:A72"/>
    <mergeCell ref="A74:A75"/>
    <mergeCell ref="A96:A104"/>
    <mergeCell ref="A249:A255"/>
    <mergeCell ref="A257:A259"/>
    <mergeCell ref="A267:A268"/>
    <mergeCell ref="A270:A273"/>
    <mergeCell ref="A379:A390"/>
    <mergeCell ref="A320:A322"/>
    <mergeCell ref="A39:A69"/>
    <mergeCell ref="A106:A116"/>
    <mergeCell ref="A118:A127"/>
    <mergeCell ref="A149:A159"/>
    <mergeCell ref="F3:H3"/>
    <mergeCell ref="A129:A147"/>
    <mergeCell ref="A5:F5"/>
    <mergeCell ref="A7:H7"/>
    <mergeCell ref="A9:A10"/>
    <mergeCell ref="B9:B10"/>
    <mergeCell ref="C9:C10"/>
    <mergeCell ref="D9:D10"/>
    <mergeCell ref="E9:F9"/>
    <mergeCell ref="G9:H9"/>
    <mergeCell ref="A302:A316"/>
    <mergeCell ref="A328:A343"/>
    <mergeCell ref="A356:A377"/>
    <mergeCell ref="A77:A86"/>
    <mergeCell ref="A88:A94"/>
    <mergeCell ref="A161:A172"/>
    <mergeCell ref="A345:A354"/>
    <mergeCell ref="A174:A176"/>
    <mergeCell ref="A324:A326"/>
    <mergeCell ref="A229:A243"/>
    <mergeCell ref="A178:A189"/>
    <mergeCell ref="A191:A210"/>
    <mergeCell ref="A212:A222"/>
    <mergeCell ref="A261:A263"/>
    <mergeCell ref="A277:A300"/>
  </mergeCells>
  <pageMargins left="0.78740157480314965" right="0.39370078740157483" top="0.39370078740157483" bottom="0.35433070866141736" header="0.51181102362204722" footer="0.31496062992125984"/>
  <pageSetup paperSize="9" scale="57" fitToHeight="0" orientation="portrait" r:id="rId1"/>
  <ignoredErrors>
    <ignoredError sqref="G173 E173" formulaRange="1"/>
    <ignoredError sqref="G391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</sheetPr>
  <dimension ref="A1:K155"/>
  <sheetViews>
    <sheetView zoomScale="80" zoomScaleNormal="80" workbookViewId="0">
      <pane xSplit="4" ySplit="11" topLeftCell="E134" activePane="bottomRight" state="frozen"/>
      <selection activeCell="J45" sqref="J45"/>
      <selection pane="topRight" activeCell="J45" sqref="J45"/>
      <selection pane="bottomLeft" activeCell="J45" sqref="J45"/>
      <selection pane="bottomRight" activeCell="G143" sqref="G143"/>
    </sheetView>
  </sheetViews>
  <sheetFormatPr defaultRowHeight="21" customHeight="1"/>
  <cols>
    <col min="1" max="1" width="6.85546875" style="28" customWidth="1"/>
    <col min="2" max="2" width="10.140625" style="11" customWidth="1"/>
    <col min="3" max="3" width="11.140625" style="11" customWidth="1"/>
    <col min="4" max="4" width="49.28515625" style="11" customWidth="1"/>
    <col min="5" max="5" width="18.28515625" style="15" customWidth="1"/>
    <col min="6" max="6" width="22.140625" style="252" customWidth="1"/>
    <col min="7" max="7" width="16.85546875" style="11" customWidth="1"/>
    <col min="8" max="8" width="19.42578125" style="249" customWidth="1"/>
    <col min="9" max="10" width="9.140625" style="11"/>
    <col min="11" max="11" width="21.28515625" style="11" customWidth="1"/>
    <col min="12" max="14" width="9.140625" style="11"/>
    <col min="15" max="15" width="13.5703125" style="11" customWidth="1"/>
    <col min="16" max="16384" width="9.140625" style="11"/>
  </cols>
  <sheetData>
    <row r="1" spans="1:8" ht="21" customHeight="1">
      <c r="A1" s="136"/>
      <c r="B1" s="18"/>
      <c r="C1" s="18"/>
      <c r="D1" s="18"/>
      <c r="E1" s="120"/>
      <c r="F1" s="226"/>
      <c r="G1" s="32"/>
      <c r="H1" s="217" t="s">
        <v>233</v>
      </c>
    </row>
    <row r="2" spans="1:8" ht="21" customHeight="1">
      <c r="A2" s="136"/>
      <c r="B2" s="18"/>
      <c r="C2" s="18"/>
      <c r="D2" s="18"/>
      <c r="F2" s="226"/>
      <c r="G2" s="32"/>
      <c r="H2" s="218" t="s">
        <v>157</v>
      </c>
    </row>
    <row r="3" spans="1:8" ht="21" customHeight="1">
      <c r="A3" s="136"/>
      <c r="B3" s="18"/>
      <c r="C3" s="18"/>
      <c r="D3" s="18"/>
      <c r="E3" s="120"/>
      <c r="F3" s="501" t="s">
        <v>247</v>
      </c>
      <c r="G3" s="501"/>
      <c r="H3" s="501"/>
    </row>
    <row r="4" spans="1:8" ht="18.75">
      <c r="A4" s="136"/>
      <c r="B4" s="24"/>
      <c r="C4" s="24"/>
      <c r="D4" s="25"/>
      <c r="E4" s="25"/>
      <c r="F4" s="250"/>
    </row>
    <row r="5" spans="1:8" ht="57" hidden="1" customHeight="1">
      <c r="A5" s="505" t="s">
        <v>147</v>
      </c>
      <c r="B5" s="505"/>
      <c r="C5" s="505"/>
      <c r="D5" s="505"/>
      <c r="E5" s="505"/>
      <c r="F5" s="505"/>
    </row>
    <row r="6" spans="1:8" ht="11.25" hidden="1" customHeight="1">
      <c r="A6" s="135"/>
      <c r="B6" s="135"/>
      <c r="C6" s="26"/>
      <c r="D6" s="26"/>
      <c r="E6" s="26"/>
      <c r="F6" s="251"/>
    </row>
    <row r="7" spans="1:8" ht="19.5" customHeight="1">
      <c r="A7" s="506" t="s">
        <v>141</v>
      </c>
      <c r="B7" s="506"/>
      <c r="C7" s="506"/>
      <c r="D7" s="506"/>
      <c r="E7" s="506"/>
      <c r="F7" s="506"/>
      <c r="G7" s="506"/>
      <c r="H7" s="506"/>
    </row>
    <row r="8" spans="1:8" ht="14.25" customHeight="1"/>
    <row r="9" spans="1:8" ht="37.5" customHeight="1">
      <c r="A9" s="507" t="s">
        <v>35</v>
      </c>
      <c r="B9" s="507" t="s">
        <v>1</v>
      </c>
      <c r="C9" s="507" t="s">
        <v>2</v>
      </c>
      <c r="D9" s="507" t="s">
        <v>145</v>
      </c>
      <c r="E9" s="460" t="s">
        <v>163</v>
      </c>
      <c r="F9" s="461"/>
      <c r="G9" s="462" t="s">
        <v>164</v>
      </c>
      <c r="H9" s="463"/>
    </row>
    <row r="10" spans="1:8" ht="62.25" customHeight="1">
      <c r="A10" s="508"/>
      <c r="B10" s="508"/>
      <c r="C10" s="508"/>
      <c r="D10" s="508"/>
      <c r="E10" s="278" t="s">
        <v>3</v>
      </c>
      <c r="F10" s="228" t="s">
        <v>37</v>
      </c>
      <c r="G10" s="281" t="s">
        <v>3</v>
      </c>
      <c r="H10" s="153" t="s">
        <v>37</v>
      </c>
    </row>
    <row r="11" spans="1:8" ht="21" customHeight="1">
      <c r="A11" s="72">
        <v>1</v>
      </c>
      <c r="B11" s="72">
        <v>2</v>
      </c>
      <c r="C11" s="72">
        <v>3</v>
      </c>
      <c r="D11" s="161">
        <v>4</v>
      </c>
      <c r="E11" s="27">
        <v>5</v>
      </c>
      <c r="F11" s="27">
        <v>6</v>
      </c>
      <c r="G11" s="27">
        <v>7</v>
      </c>
      <c r="H11" s="27">
        <v>8</v>
      </c>
    </row>
    <row r="12" spans="1:8" ht="21" customHeight="1">
      <c r="A12" s="147">
        <v>1</v>
      </c>
      <c r="B12" s="268">
        <v>530001</v>
      </c>
      <c r="C12" s="50" t="s">
        <v>165</v>
      </c>
      <c r="D12" s="127" t="s">
        <v>166</v>
      </c>
      <c r="E12" s="128">
        <f t="shared" ref="E12:F12" si="0">SUM(E13:E33)</f>
        <v>0</v>
      </c>
      <c r="F12" s="129">
        <f t="shared" si="0"/>
        <v>26.650000035762787</v>
      </c>
      <c r="G12" s="128">
        <f>SUM(G13:G33)</f>
        <v>161</v>
      </c>
      <c r="H12" s="129">
        <f t="shared" ref="H12" si="1">SUM(H13:H33)</f>
        <v>8265704.7799999835</v>
      </c>
    </row>
    <row r="13" spans="1:8" ht="21" customHeight="1">
      <c r="A13" s="509"/>
      <c r="B13" s="148">
        <v>530001</v>
      </c>
      <c r="C13" s="83" t="s">
        <v>49</v>
      </c>
      <c r="D13" s="65" t="s">
        <v>4</v>
      </c>
      <c r="E13" s="51">
        <v>0</v>
      </c>
      <c r="F13" s="130">
        <v>-299051.33999999985</v>
      </c>
      <c r="G13" s="51">
        <v>0</v>
      </c>
      <c r="H13" s="130">
        <v>-528675.01999999979</v>
      </c>
    </row>
    <row r="14" spans="1:8" ht="21" customHeight="1">
      <c r="A14" s="509"/>
      <c r="B14" s="148">
        <v>530001</v>
      </c>
      <c r="C14" s="83" t="s">
        <v>50</v>
      </c>
      <c r="D14" s="65" t="s">
        <v>5</v>
      </c>
      <c r="E14" s="51">
        <v>0</v>
      </c>
      <c r="F14" s="130">
        <v>1000947.6100000143</v>
      </c>
      <c r="G14" s="51">
        <v>-1</v>
      </c>
      <c r="H14" s="130">
        <v>-1508998.6099999989</v>
      </c>
    </row>
    <row r="15" spans="1:8" ht="21" customHeight="1">
      <c r="A15" s="509"/>
      <c r="B15" s="148">
        <v>530001</v>
      </c>
      <c r="C15" s="83" t="s">
        <v>52</v>
      </c>
      <c r="D15" s="65" t="s">
        <v>6</v>
      </c>
      <c r="E15" s="51">
        <v>0</v>
      </c>
      <c r="F15" s="130">
        <v>229975.14999999851</v>
      </c>
      <c r="G15" s="51">
        <v>40</v>
      </c>
      <c r="H15" s="130">
        <v>7334601.3300000001</v>
      </c>
    </row>
    <row r="16" spans="1:8" ht="21" customHeight="1">
      <c r="A16" s="509"/>
      <c r="B16" s="148">
        <v>530001</v>
      </c>
      <c r="C16" s="83" t="s">
        <v>53</v>
      </c>
      <c r="D16" s="65" t="s">
        <v>44</v>
      </c>
      <c r="E16" s="51">
        <v>-16</v>
      </c>
      <c r="F16" s="130">
        <v>-387981</v>
      </c>
      <c r="G16" s="51">
        <v>-9</v>
      </c>
      <c r="H16" s="130">
        <v>-298188.83999999985</v>
      </c>
    </row>
    <row r="17" spans="1:8" ht="21" customHeight="1">
      <c r="A17" s="509"/>
      <c r="B17" s="148">
        <v>530001</v>
      </c>
      <c r="C17" s="83" t="s">
        <v>54</v>
      </c>
      <c r="D17" s="65" t="s">
        <v>12</v>
      </c>
      <c r="E17" s="51">
        <v>0</v>
      </c>
      <c r="F17" s="130">
        <v>997913.5700000003</v>
      </c>
      <c r="G17" s="51">
        <v>6</v>
      </c>
      <c r="H17" s="130">
        <v>2251401.7299999963</v>
      </c>
    </row>
    <row r="18" spans="1:8" ht="21" customHeight="1">
      <c r="A18" s="509"/>
      <c r="B18" s="148">
        <v>530001</v>
      </c>
      <c r="C18" s="83" t="s">
        <v>55</v>
      </c>
      <c r="D18" s="65" t="s">
        <v>28</v>
      </c>
      <c r="E18" s="51">
        <v>16</v>
      </c>
      <c r="F18" s="130">
        <v>403263.11999999732</v>
      </c>
      <c r="G18" s="51">
        <v>25</v>
      </c>
      <c r="H18" s="130">
        <v>-48032.890000001644</v>
      </c>
    </row>
    <row r="19" spans="1:8" ht="21" customHeight="1">
      <c r="A19" s="509"/>
      <c r="B19" s="148">
        <v>530001</v>
      </c>
      <c r="C19" s="83" t="s">
        <v>56</v>
      </c>
      <c r="D19" s="65" t="s">
        <v>57</v>
      </c>
      <c r="E19" s="51">
        <v>0</v>
      </c>
      <c r="F19" s="130">
        <v>502597.64999999851</v>
      </c>
      <c r="G19" s="51">
        <v>11</v>
      </c>
      <c r="H19" s="130">
        <v>570491.29000000062</v>
      </c>
    </row>
    <row r="20" spans="1:8" ht="21" customHeight="1">
      <c r="A20" s="509"/>
      <c r="B20" s="148">
        <v>530001</v>
      </c>
      <c r="C20" s="83" t="s">
        <v>86</v>
      </c>
      <c r="D20" s="65" t="s">
        <v>24</v>
      </c>
      <c r="E20" s="51">
        <v>0</v>
      </c>
      <c r="F20" s="130">
        <v>-312051.01000000071</v>
      </c>
      <c r="G20" s="51">
        <v>-3</v>
      </c>
      <c r="H20" s="130">
        <v>-455145.22999999975</v>
      </c>
    </row>
    <row r="21" spans="1:8" ht="21" customHeight="1">
      <c r="A21" s="509"/>
      <c r="B21" s="148">
        <v>530001</v>
      </c>
      <c r="C21" s="83" t="s">
        <v>58</v>
      </c>
      <c r="D21" s="65" t="s">
        <v>27</v>
      </c>
      <c r="E21" s="51">
        <v>48</v>
      </c>
      <c r="F21" s="130">
        <v>2233262.9400000125</v>
      </c>
      <c r="G21" s="51">
        <v>76</v>
      </c>
      <c r="H21" s="130">
        <v>3558405.7999999993</v>
      </c>
    </row>
    <row r="22" spans="1:8" ht="21" customHeight="1">
      <c r="A22" s="509"/>
      <c r="B22" s="148">
        <v>530001</v>
      </c>
      <c r="C22" s="83" t="s">
        <v>59</v>
      </c>
      <c r="D22" s="65" t="s">
        <v>7</v>
      </c>
      <c r="E22" s="51">
        <v>0</v>
      </c>
      <c r="F22" s="130">
        <v>-176260.6400000006</v>
      </c>
      <c r="G22" s="51">
        <v>6</v>
      </c>
      <c r="H22" s="130">
        <v>-665694.28000000061</v>
      </c>
    </row>
    <row r="23" spans="1:8" ht="21" customHeight="1">
      <c r="A23" s="509"/>
      <c r="B23" s="148">
        <v>530001</v>
      </c>
      <c r="C23" s="83" t="s">
        <v>60</v>
      </c>
      <c r="D23" s="65" t="s">
        <v>8</v>
      </c>
      <c r="E23" s="51">
        <v>0</v>
      </c>
      <c r="F23" s="130">
        <v>-1290813.5600000024</v>
      </c>
      <c r="G23" s="51">
        <v>-2</v>
      </c>
      <c r="H23" s="130">
        <v>-1408237.1900000027</v>
      </c>
    </row>
    <row r="24" spans="1:8" ht="21" customHeight="1">
      <c r="A24" s="509"/>
      <c r="B24" s="148">
        <v>530001</v>
      </c>
      <c r="C24" s="83">
        <v>81</v>
      </c>
      <c r="D24" s="65" t="s">
        <v>39</v>
      </c>
      <c r="E24" s="51">
        <v>0</v>
      </c>
      <c r="F24" s="130">
        <v>2883.4600000083447</v>
      </c>
      <c r="G24" s="51">
        <v>10</v>
      </c>
      <c r="H24" s="130">
        <v>141847.44999999463</v>
      </c>
    </row>
    <row r="25" spans="1:8" ht="21" customHeight="1">
      <c r="A25" s="509"/>
      <c r="B25" s="148">
        <v>530001</v>
      </c>
      <c r="C25" s="83">
        <v>99</v>
      </c>
      <c r="D25" s="65" t="s">
        <v>40</v>
      </c>
      <c r="E25" s="51">
        <v>20</v>
      </c>
      <c r="F25" s="130">
        <v>982170.25</v>
      </c>
      <c r="G25" s="51">
        <v>22</v>
      </c>
      <c r="H25" s="130">
        <v>757745.03999999911</v>
      </c>
    </row>
    <row r="26" spans="1:8" ht="21" customHeight="1">
      <c r="A26" s="509"/>
      <c r="B26" s="148">
        <v>530001</v>
      </c>
      <c r="C26" s="83" t="s">
        <v>62</v>
      </c>
      <c r="D26" s="65" t="s">
        <v>14</v>
      </c>
      <c r="E26" s="51">
        <v>-27</v>
      </c>
      <c r="F26" s="130">
        <v>-1850688.6299999952</v>
      </c>
      <c r="G26" s="51">
        <v>-8</v>
      </c>
      <c r="H26" s="130">
        <v>-62933.470000003465</v>
      </c>
    </row>
    <row r="27" spans="1:8" ht="21" customHeight="1">
      <c r="A27" s="509"/>
      <c r="B27" s="148">
        <v>530001</v>
      </c>
      <c r="C27" s="83" t="s">
        <v>63</v>
      </c>
      <c r="D27" s="65" t="s">
        <v>41</v>
      </c>
      <c r="E27" s="51">
        <v>-30</v>
      </c>
      <c r="F27" s="130">
        <v>-953419.14999999851</v>
      </c>
      <c r="G27" s="51">
        <v>6</v>
      </c>
      <c r="H27" s="130">
        <v>-42205.089999997639</v>
      </c>
    </row>
    <row r="28" spans="1:8" ht="21" customHeight="1">
      <c r="A28" s="509"/>
      <c r="B28" s="148">
        <v>530001</v>
      </c>
      <c r="C28" s="83" t="s">
        <v>64</v>
      </c>
      <c r="D28" s="65" t="s">
        <v>17</v>
      </c>
      <c r="E28" s="51">
        <v>0</v>
      </c>
      <c r="F28" s="130">
        <v>19275.329999998212</v>
      </c>
      <c r="G28" s="51">
        <v>-8</v>
      </c>
      <c r="H28" s="130">
        <v>-314869.4299999979</v>
      </c>
    </row>
    <row r="29" spans="1:8" ht="21" customHeight="1">
      <c r="A29" s="509"/>
      <c r="B29" s="148">
        <v>530001</v>
      </c>
      <c r="C29" s="83">
        <v>114</v>
      </c>
      <c r="D29" s="65" t="s">
        <v>196</v>
      </c>
      <c r="E29" s="51">
        <v>0</v>
      </c>
      <c r="F29" s="130">
        <v>-12031.719999999739</v>
      </c>
      <c r="G29" s="51">
        <v>-1</v>
      </c>
      <c r="H29" s="130">
        <v>-261758.84000000011</v>
      </c>
    </row>
    <row r="30" spans="1:8" ht="21" customHeight="1">
      <c r="A30" s="509"/>
      <c r="B30" s="148">
        <v>530001</v>
      </c>
      <c r="C30" s="83" t="s">
        <v>167</v>
      </c>
      <c r="D30" s="65" t="s">
        <v>42</v>
      </c>
      <c r="E30" s="51">
        <v>-28</v>
      </c>
      <c r="F30" s="130">
        <v>-1634447.5199999958</v>
      </c>
      <c r="G30" s="51">
        <v>-28</v>
      </c>
      <c r="H30" s="130">
        <v>-1334395.8900000048</v>
      </c>
    </row>
    <row r="31" spans="1:8" ht="21" customHeight="1">
      <c r="A31" s="509"/>
      <c r="B31" s="148">
        <v>530001</v>
      </c>
      <c r="C31" s="83" t="s">
        <v>65</v>
      </c>
      <c r="D31" s="65" t="s">
        <v>32</v>
      </c>
      <c r="E31" s="51">
        <v>0</v>
      </c>
      <c r="F31" s="130">
        <v>26979.029999999329</v>
      </c>
      <c r="G31" s="51">
        <v>2</v>
      </c>
      <c r="H31" s="130">
        <v>41244.170000000595</v>
      </c>
    </row>
    <row r="32" spans="1:8" ht="21" customHeight="1">
      <c r="A32" s="509"/>
      <c r="B32" s="148">
        <v>530001</v>
      </c>
      <c r="C32" s="83" t="s">
        <v>66</v>
      </c>
      <c r="D32" s="65" t="s">
        <v>18</v>
      </c>
      <c r="E32" s="51">
        <v>17</v>
      </c>
      <c r="F32" s="130">
        <v>537638.81000000052</v>
      </c>
      <c r="G32" s="51">
        <v>12</v>
      </c>
      <c r="H32" s="130">
        <v>389230.87000000058</v>
      </c>
    </row>
    <row r="33" spans="1:8" ht="21" customHeight="1">
      <c r="A33" s="509"/>
      <c r="B33" s="148">
        <v>530001</v>
      </c>
      <c r="C33" s="83" t="s">
        <v>67</v>
      </c>
      <c r="D33" s="65" t="s">
        <v>19</v>
      </c>
      <c r="E33" s="51">
        <v>0</v>
      </c>
      <c r="F33" s="130">
        <v>-20135.699999999255</v>
      </c>
      <c r="G33" s="51">
        <v>5</v>
      </c>
      <c r="H33" s="130">
        <v>149871.8799999982</v>
      </c>
    </row>
    <row r="34" spans="1:8" ht="21" customHeight="1">
      <c r="A34" s="147">
        <v>2</v>
      </c>
      <c r="B34" s="268">
        <v>530002</v>
      </c>
      <c r="C34" s="50" t="s">
        <v>165</v>
      </c>
      <c r="D34" s="127" t="s">
        <v>169</v>
      </c>
      <c r="E34" s="128">
        <f>SUM(E35:E49)</f>
        <v>-2</v>
      </c>
      <c r="F34" s="129">
        <f t="shared" ref="F34:H34" si="2">SUM(F35:F49)</f>
        <v>-9719213.0799999908</v>
      </c>
      <c r="G34" s="128">
        <f t="shared" si="2"/>
        <v>-110</v>
      </c>
      <c r="H34" s="129">
        <f t="shared" si="2"/>
        <v>-6841032.8699999955</v>
      </c>
    </row>
    <row r="35" spans="1:8" ht="21" customHeight="1">
      <c r="A35" s="509"/>
      <c r="B35" s="148">
        <v>530002</v>
      </c>
      <c r="C35" s="146">
        <v>4</v>
      </c>
      <c r="D35" s="65" t="s">
        <v>9</v>
      </c>
      <c r="E35" s="51">
        <v>-12</v>
      </c>
      <c r="F35" s="130">
        <v>-985960</v>
      </c>
      <c r="G35" s="51">
        <v>-15</v>
      </c>
      <c r="H35" s="130">
        <v>-842280.55999999971</v>
      </c>
    </row>
    <row r="36" spans="1:8" ht="21" customHeight="1">
      <c r="A36" s="509"/>
      <c r="B36" s="148">
        <v>530002</v>
      </c>
      <c r="C36" s="146">
        <v>12</v>
      </c>
      <c r="D36" s="65" t="s">
        <v>5</v>
      </c>
      <c r="E36" s="51">
        <v>0</v>
      </c>
      <c r="F36" s="130">
        <v>678845.87000000104</v>
      </c>
      <c r="G36" s="51">
        <v>-14</v>
      </c>
      <c r="H36" s="130">
        <v>-595587.31999999983</v>
      </c>
    </row>
    <row r="37" spans="1:8" ht="21" customHeight="1">
      <c r="A37" s="509"/>
      <c r="B37" s="148">
        <v>530002</v>
      </c>
      <c r="C37" s="83">
        <v>17</v>
      </c>
      <c r="D37" s="65" t="s">
        <v>10</v>
      </c>
      <c r="E37" s="51">
        <v>2</v>
      </c>
      <c r="F37" s="130">
        <v>322356.29000000004</v>
      </c>
      <c r="G37" s="51">
        <v>3</v>
      </c>
      <c r="H37" s="130">
        <v>538182.52000000037</v>
      </c>
    </row>
    <row r="38" spans="1:8" ht="21" customHeight="1">
      <c r="A38" s="509"/>
      <c r="B38" s="148">
        <v>530002</v>
      </c>
      <c r="C38" s="146">
        <v>19</v>
      </c>
      <c r="D38" s="65" t="s">
        <v>45</v>
      </c>
      <c r="E38" s="51">
        <v>13</v>
      </c>
      <c r="F38" s="130">
        <v>386281.88000000082</v>
      </c>
      <c r="G38" s="51">
        <v>13</v>
      </c>
      <c r="H38" s="130">
        <v>769586.32000000263</v>
      </c>
    </row>
    <row r="39" spans="1:8" ht="21" customHeight="1">
      <c r="A39" s="509"/>
      <c r="B39" s="148">
        <v>530002</v>
      </c>
      <c r="C39" s="146">
        <v>20</v>
      </c>
      <c r="D39" s="65" t="s">
        <v>46</v>
      </c>
      <c r="E39" s="51">
        <v>36</v>
      </c>
      <c r="F39" s="130">
        <v>1828712.9600000009</v>
      </c>
      <c r="G39" s="51">
        <v>36</v>
      </c>
      <c r="H39" s="130">
        <v>2957961.6000000006</v>
      </c>
    </row>
    <row r="40" spans="1:8" ht="21" customHeight="1">
      <c r="A40" s="509"/>
      <c r="B40" s="148">
        <v>530002</v>
      </c>
      <c r="C40" s="146">
        <v>21</v>
      </c>
      <c r="D40" s="65" t="s">
        <v>11</v>
      </c>
      <c r="E40" s="51">
        <v>-17</v>
      </c>
      <c r="F40" s="130">
        <v>-2001330.8200000003</v>
      </c>
      <c r="G40" s="51">
        <v>-18</v>
      </c>
      <c r="H40" s="130">
        <v>-1697900.200000002</v>
      </c>
    </row>
    <row r="41" spans="1:8" ht="21" customHeight="1">
      <c r="A41" s="509"/>
      <c r="B41" s="148">
        <v>530002</v>
      </c>
      <c r="C41" s="146">
        <v>53</v>
      </c>
      <c r="D41" s="65" t="s">
        <v>12</v>
      </c>
      <c r="E41" s="51">
        <v>-7</v>
      </c>
      <c r="F41" s="130">
        <v>-90062.829999998212</v>
      </c>
      <c r="G41" s="51">
        <v>6</v>
      </c>
      <c r="H41" s="130">
        <v>1023814.8899999992</v>
      </c>
    </row>
    <row r="42" spans="1:8" ht="21" customHeight="1">
      <c r="A42" s="509"/>
      <c r="B42" s="148">
        <v>530002</v>
      </c>
      <c r="C42" s="83">
        <v>55</v>
      </c>
      <c r="D42" s="65" t="s">
        <v>38</v>
      </c>
      <c r="E42" s="51">
        <v>0</v>
      </c>
      <c r="F42" s="130">
        <v>556342.09000000358</v>
      </c>
      <c r="G42" s="51">
        <v>2</v>
      </c>
      <c r="H42" s="130">
        <v>2149566.4900000016</v>
      </c>
    </row>
    <row r="43" spans="1:8" ht="21" customHeight="1">
      <c r="A43" s="509"/>
      <c r="B43" s="148">
        <v>530002</v>
      </c>
      <c r="C43" s="146">
        <v>56</v>
      </c>
      <c r="D43" s="65" t="s">
        <v>57</v>
      </c>
      <c r="E43" s="51">
        <v>9</v>
      </c>
      <c r="F43" s="130">
        <v>1029062</v>
      </c>
      <c r="G43" s="51">
        <v>6</v>
      </c>
      <c r="H43" s="130">
        <v>1317565.8100000008</v>
      </c>
    </row>
    <row r="44" spans="1:8" ht="21" customHeight="1">
      <c r="A44" s="509"/>
      <c r="B44" s="148">
        <v>530002</v>
      </c>
      <c r="C44" s="146">
        <v>68</v>
      </c>
      <c r="D44" s="65" t="s">
        <v>13</v>
      </c>
      <c r="E44" s="51">
        <v>5</v>
      </c>
      <c r="F44" s="130">
        <v>-1443008</v>
      </c>
      <c r="G44" s="51">
        <v>-62</v>
      </c>
      <c r="H44" s="130">
        <v>-3352464.1200000024</v>
      </c>
    </row>
    <row r="45" spans="1:8" ht="21" customHeight="1">
      <c r="A45" s="509"/>
      <c r="B45" s="148">
        <v>530002</v>
      </c>
      <c r="C45" s="146">
        <v>75</v>
      </c>
      <c r="D45" s="65" t="s">
        <v>7</v>
      </c>
      <c r="E45" s="51">
        <v>-39</v>
      </c>
      <c r="F45" s="130">
        <v>-1477328.0099999998</v>
      </c>
      <c r="G45" s="51">
        <v>-43</v>
      </c>
      <c r="H45" s="130">
        <v>-1394447.18</v>
      </c>
    </row>
    <row r="46" spans="1:8" ht="21" customHeight="1">
      <c r="A46" s="509"/>
      <c r="B46" s="148">
        <v>530002</v>
      </c>
      <c r="C46" s="146">
        <v>77</v>
      </c>
      <c r="D46" s="65" t="s">
        <v>8</v>
      </c>
      <c r="E46" s="51">
        <v>0</v>
      </c>
      <c r="F46" s="130">
        <v>0</v>
      </c>
      <c r="G46" s="51">
        <v>-3</v>
      </c>
      <c r="H46" s="130">
        <v>-177104.63</v>
      </c>
    </row>
    <row r="47" spans="1:8" ht="21" customHeight="1">
      <c r="A47" s="509"/>
      <c r="B47" s="148">
        <v>530002</v>
      </c>
      <c r="C47" s="146">
        <v>100</v>
      </c>
      <c r="D47" s="65" t="s">
        <v>14</v>
      </c>
      <c r="E47" s="51">
        <v>-5</v>
      </c>
      <c r="F47" s="130">
        <v>-7537916.7699999958</v>
      </c>
      <c r="G47" s="51">
        <v>-26</v>
      </c>
      <c r="H47" s="130">
        <v>-7503967.769999993</v>
      </c>
    </row>
    <row r="48" spans="1:8" ht="21" customHeight="1">
      <c r="A48" s="509"/>
      <c r="B48" s="148">
        <v>530002</v>
      </c>
      <c r="C48" s="146">
        <v>116</v>
      </c>
      <c r="D48" s="65" t="s">
        <v>42</v>
      </c>
      <c r="E48" s="51">
        <v>9</v>
      </c>
      <c r="F48" s="130">
        <v>231704.30999999959</v>
      </c>
      <c r="G48" s="51">
        <v>9</v>
      </c>
      <c r="H48" s="130">
        <v>535168.55999999994</v>
      </c>
    </row>
    <row r="49" spans="1:8" ht="21" customHeight="1">
      <c r="A49" s="509"/>
      <c r="B49" s="148">
        <v>530002</v>
      </c>
      <c r="C49" s="146">
        <v>162</v>
      </c>
      <c r="D49" s="65" t="s">
        <v>19</v>
      </c>
      <c r="E49" s="51">
        <v>4</v>
      </c>
      <c r="F49" s="130">
        <v>-1216912.0500000007</v>
      </c>
      <c r="G49" s="51">
        <v>-4</v>
      </c>
      <c r="H49" s="130">
        <v>-569127.28000000282</v>
      </c>
    </row>
    <row r="50" spans="1:8" ht="21" customHeight="1">
      <c r="A50" s="147">
        <v>3</v>
      </c>
      <c r="B50" s="268">
        <v>530011</v>
      </c>
      <c r="C50" s="50" t="s">
        <v>165</v>
      </c>
      <c r="D50" s="127" t="s">
        <v>173</v>
      </c>
      <c r="E50" s="128">
        <f>SUM(E51:E60)</f>
        <v>275</v>
      </c>
      <c r="F50" s="129">
        <f t="shared" ref="F50:H50" si="3">SUM(F51:F60)</f>
        <v>9203772.0200000107</v>
      </c>
      <c r="G50" s="128">
        <f t="shared" si="3"/>
        <v>188</v>
      </c>
      <c r="H50" s="129">
        <f t="shared" si="3"/>
        <v>7768330.849999994</v>
      </c>
    </row>
    <row r="51" spans="1:8" ht="21" customHeight="1">
      <c r="A51" s="509"/>
      <c r="B51" s="148">
        <v>530011</v>
      </c>
      <c r="C51" s="83" t="s">
        <v>49</v>
      </c>
      <c r="D51" s="65" t="s">
        <v>4</v>
      </c>
      <c r="E51" s="51">
        <v>35</v>
      </c>
      <c r="F51" s="130">
        <v>2120524.5300000012</v>
      </c>
      <c r="G51" s="51">
        <v>33</v>
      </c>
      <c r="H51" s="130">
        <v>1031020.8500000001</v>
      </c>
    </row>
    <row r="52" spans="1:8" ht="21" customHeight="1">
      <c r="A52" s="509"/>
      <c r="B52" s="148">
        <v>530011</v>
      </c>
      <c r="C52" s="83" t="s">
        <v>52</v>
      </c>
      <c r="D52" s="65" t="s">
        <v>6</v>
      </c>
      <c r="E52" s="51">
        <v>0</v>
      </c>
      <c r="F52" s="130">
        <v>-90.340000003576279</v>
      </c>
      <c r="G52" s="51">
        <v>-9</v>
      </c>
      <c r="H52" s="130">
        <v>-280885.47000000271</v>
      </c>
    </row>
    <row r="53" spans="1:8" ht="21" customHeight="1">
      <c r="A53" s="509"/>
      <c r="B53" s="148">
        <v>530011</v>
      </c>
      <c r="C53" s="83" t="s">
        <v>54</v>
      </c>
      <c r="D53" s="65" t="s">
        <v>12</v>
      </c>
      <c r="E53" s="51">
        <v>0</v>
      </c>
      <c r="F53" s="130">
        <v>8891.0900000035763</v>
      </c>
      <c r="G53" s="51">
        <v>-20</v>
      </c>
      <c r="H53" s="130">
        <v>949026.09</v>
      </c>
    </row>
    <row r="54" spans="1:8" ht="21" customHeight="1">
      <c r="A54" s="509"/>
      <c r="B54" s="148">
        <v>530011</v>
      </c>
      <c r="C54" s="83" t="s">
        <v>58</v>
      </c>
      <c r="D54" s="65" t="s">
        <v>27</v>
      </c>
      <c r="E54" s="51">
        <v>25</v>
      </c>
      <c r="F54" s="130">
        <v>400360.46999999974</v>
      </c>
      <c r="G54" s="51">
        <v>33</v>
      </c>
      <c r="H54" s="130">
        <v>118774.13000000012</v>
      </c>
    </row>
    <row r="55" spans="1:8" ht="21" customHeight="1">
      <c r="A55" s="509"/>
      <c r="B55" s="148">
        <v>530011</v>
      </c>
      <c r="C55" s="83" t="s">
        <v>61</v>
      </c>
      <c r="D55" s="65" t="s">
        <v>16</v>
      </c>
      <c r="E55" s="51">
        <v>161</v>
      </c>
      <c r="F55" s="130">
        <v>3845048.200000003</v>
      </c>
      <c r="G55" s="51">
        <v>72</v>
      </c>
      <c r="H55" s="130">
        <v>1566709.9999999972</v>
      </c>
    </row>
    <row r="56" spans="1:8" ht="21" customHeight="1">
      <c r="A56" s="509"/>
      <c r="B56" s="148">
        <v>530011</v>
      </c>
      <c r="C56" s="83" t="s">
        <v>62</v>
      </c>
      <c r="D56" s="65" t="s">
        <v>14</v>
      </c>
      <c r="E56" s="51">
        <v>0</v>
      </c>
      <c r="F56" s="130">
        <v>784.50999999791384</v>
      </c>
      <c r="G56" s="51">
        <v>-2</v>
      </c>
      <c r="H56" s="130">
        <v>-922477.7099999988</v>
      </c>
    </row>
    <row r="57" spans="1:8" ht="21" customHeight="1">
      <c r="A57" s="509"/>
      <c r="B57" s="148">
        <v>530011</v>
      </c>
      <c r="C57" s="83" t="s">
        <v>64</v>
      </c>
      <c r="D57" s="65" t="s">
        <v>17</v>
      </c>
      <c r="E57" s="51">
        <v>0</v>
      </c>
      <c r="F57" s="130">
        <v>-53.899999991059303</v>
      </c>
      <c r="G57" s="51">
        <v>-18</v>
      </c>
      <c r="H57" s="130">
        <v>2184622.8199999989</v>
      </c>
    </row>
    <row r="58" spans="1:8" ht="21" customHeight="1">
      <c r="A58" s="509"/>
      <c r="B58" s="148">
        <v>530011</v>
      </c>
      <c r="C58" s="83" t="s">
        <v>65</v>
      </c>
      <c r="D58" s="65" t="s">
        <v>32</v>
      </c>
      <c r="E58" s="51">
        <v>-9</v>
      </c>
      <c r="F58" s="130">
        <v>-418508.74999999994</v>
      </c>
      <c r="G58" s="51">
        <v>-9</v>
      </c>
      <c r="H58" s="130">
        <v>-418508.75</v>
      </c>
    </row>
    <row r="59" spans="1:8" ht="21" customHeight="1">
      <c r="A59" s="509"/>
      <c r="B59" s="148">
        <v>530011</v>
      </c>
      <c r="C59" s="83" t="s">
        <v>66</v>
      </c>
      <c r="D59" s="65" t="s">
        <v>18</v>
      </c>
      <c r="E59" s="51">
        <v>30</v>
      </c>
      <c r="F59" s="130">
        <v>2471984.0199999996</v>
      </c>
      <c r="G59" s="51">
        <v>43</v>
      </c>
      <c r="H59" s="130">
        <v>1880672.8599999999</v>
      </c>
    </row>
    <row r="60" spans="1:8" ht="21" customHeight="1">
      <c r="A60" s="509"/>
      <c r="B60" s="148">
        <v>530011</v>
      </c>
      <c r="C60" s="83" t="s">
        <v>67</v>
      </c>
      <c r="D60" s="65" t="s">
        <v>19</v>
      </c>
      <c r="E60" s="51">
        <v>33</v>
      </c>
      <c r="F60" s="130">
        <v>774832.19000000134</v>
      </c>
      <c r="G60" s="51">
        <v>65</v>
      </c>
      <c r="H60" s="130">
        <v>1659376.0299999998</v>
      </c>
    </row>
    <row r="61" spans="1:8" ht="37.5" customHeight="1">
      <c r="A61" s="147">
        <v>4</v>
      </c>
      <c r="B61" s="326">
        <v>530017</v>
      </c>
      <c r="C61" s="368" t="s">
        <v>165</v>
      </c>
      <c r="D61" s="357" t="s">
        <v>170</v>
      </c>
      <c r="E61" s="128">
        <f>SUM(E62:E64)</f>
        <v>0</v>
      </c>
      <c r="F61" s="129">
        <f t="shared" ref="F61:H61" si="4">SUM(F62:F64)</f>
        <v>0</v>
      </c>
      <c r="G61" s="128">
        <f t="shared" si="4"/>
        <v>-46</v>
      </c>
      <c r="H61" s="129">
        <f t="shared" si="4"/>
        <v>15051002.589999989</v>
      </c>
    </row>
    <row r="62" spans="1:8" ht="21" customHeight="1">
      <c r="A62" s="513"/>
      <c r="B62" s="328">
        <v>530017</v>
      </c>
      <c r="C62" s="369">
        <v>3</v>
      </c>
      <c r="D62" s="370" t="s">
        <v>302</v>
      </c>
      <c r="E62" s="51">
        <v>0</v>
      </c>
      <c r="F62" s="130">
        <v>0</v>
      </c>
      <c r="G62" s="322">
        <v>0</v>
      </c>
      <c r="H62" s="360">
        <v>0</v>
      </c>
    </row>
    <row r="63" spans="1:8" ht="21" customHeight="1">
      <c r="A63" s="515"/>
      <c r="B63" s="327">
        <v>530017</v>
      </c>
      <c r="C63" s="369">
        <v>55</v>
      </c>
      <c r="D63" s="323" t="s">
        <v>38</v>
      </c>
      <c r="E63" s="51">
        <v>0</v>
      </c>
      <c r="F63" s="130">
        <v>0</v>
      </c>
      <c r="G63" s="372">
        <v>-15</v>
      </c>
      <c r="H63" s="360">
        <v>5026146.3599999994</v>
      </c>
    </row>
    <row r="64" spans="1:8" ht="21" customHeight="1">
      <c r="A64" s="514"/>
      <c r="B64" s="371">
        <v>530017</v>
      </c>
      <c r="C64" s="365">
        <v>136</v>
      </c>
      <c r="D64" s="325" t="s">
        <v>18</v>
      </c>
      <c r="E64" s="51">
        <v>0</v>
      </c>
      <c r="F64" s="130">
        <v>0</v>
      </c>
      <c r="G64" s="372">
        <v>-31</v>
      </c>
      <c r="H64" s="360">
        <v>10024856.229999989</v>
      </c>
    </row>
    <row r="65" spans="1:8" ht="21" customHeight="1">
      <c r="A65" s="147">
        <v>5</v>
      </c>
      <c r="B65" s="374">
        <v>530023</v>
      </c>
      <c r="C65" s="368" t="s">
        <v>165</v>
      </c>
      <c r="D65" s="357" t="s">
        <v>255</v>
      </c>
      <c r="E65" s="377">
        <f>E66</f>
        <v>0</v>
      </c>
      <c r="F65" s="378">
        <f t="shared" ref="F65:H65" si="5">F66</f>
        <v>0</v>
      </c>
      <c r="G65" s="377">
        <f t="shared" si="5"/>
        <v>13</v>
      </c>
      <c r="H65" s="378">
        <f t="shared" si="5"/>
        <v>476946.20000000019</v>
      </c>
    </row>
    <row r="66" spans="1:8" ht="21" customHeight="1">
      <c r="A66" s="373"/>
      <c r="B66" s="375">
        <v>530023</v>
      </c>
      <c r="C66" s="365">
        <v>112</v>
      </c>
      <c r="D66" s="325" t="s">
        <v>17</v>
      </c>
      <c r="E66" s="322">
        <v>0</v>
      </c>
      <c r="F66" s="360">
        <v>0</v>
      </c>
      <c r="G66" s="322">
        <v>13</v>
      </c>
      <c r="H66" s="360">
        <v>476946.20000000019</v>
      </c>
    </row>
    <row r="67" spans="1:8" ht="21" customHeight="1">
      <c r="A67" s="147">
        <v>6</v>
      </c>
      <c r="B67" s="326">
        <v>530024</v>
      </c>
      <c r="C67" s="368" t="s">
        <v>165</v>
      </c>
      <c r="D67" s="357" t="s">
        <v>256</v>
      </c>
      <c r="E67" s="377">
        <f>E68</f>
        <v>0</v>
      </c>
      <c r="F67" s="378">
        <f>F68</f>
        <v>0</v>
      </c>
      <c r="G67" s="377">
        <f>G68</f>
        <v>-36</v>
      </c>
      <c r="H67" s="378">
        <f>H68</f>
        <v>-289869.79000000004</v>
      </c>
    </row>
    <row r="68" spans="1:8" ht="21" customHeight="1">
      <c r="A68" s="373"/>
      <c r="B68" s="329">
        <v>530024</v>
      </c>
      <c r="C68" s="376">
        <v>97</v>
      </c>
      <c r="D68" s="325" t="s">
        <v>16</v>
      </c>
      <c r="E68" s="322">
        <v>0</v>
      </c>
      <c r="F68" s="360">
        <v>0</v>
      </c>
      <c r="G68" s="322">
        <v>-36</v>
      </c>
      <c r="H68" s="360">
        <v>-289869.79000000004</v>
      </c>
    </row>
    <row r="69" spans="1:8" ht="21" customHeight="1">
      <c r="A69" s="147">
        <v>7</v>
      </c>
      <c r="B69" s="326">
        <v>530025</v>
      </c>
      <c r="C69" s="368" t="s">
        <v>165</v>
      </c>
      <c r="D69" s="357" t="s">
        <v>257</v>
      </c>
      <c r="E69" s="377">
        <f>E70</f>
        <v>0</v>
      </c>
      <c r="F69" s="378">
        <f>F70</f>
        <v>0</v>
      </c>
      <c r="G69" s="377">
        <f>G70</f>
        <v>27</v>
      </c>
      <c r="H69" s="378">
        <f>H70</f>
        <v>935869.34999999963</v>
      </c>
    </row>
    <row r="70" spans="1:8" ht="21" customHeight="1">
      <c r="A70" s="373"/>
      <c r="B70" s="375">
        <v>530025</v>
      </c>
      <c r="C70" s="365">
        <v>97</v>
      </c>
      <c r="D70" s="325" t="s">
        <v>16</v>
      </c>
      <c r="E70" s="51">
        <v>0</v>
      </c>
      <c r="F70" s="130">
        <v>0</v>
      </c>
      <c r="G70" s="322">
        <v>27</v>
      </c>
      <c r="H70" s="360">
        <v>935869.34999999963</v>
      </c>
    </row>
    <row r="71" spans="1:8" ht="21" customHeight="1">
      <c r="A71" s="147">
        <v>8</v>
      </c>
      <c r="B71" s="268">
        <v>530026</v>
      </c>
      <c r="C71" s="50" t="s">
        <v>165</v>
      </c>
      <c r="D71" s="127" t="s">
        <v>177</v>
      </c>
      <c r="E71" s="128">
        <f>SUM(E72:E74)</f>
        <v>37</v>
      </c>
      <c r="F71" s="129">
        <f t="shared" ref="F71:H71" si="6">SUM(F72:F74)</f>
        <v>1652369.3000000007</v>
      </c>
      <c r="G71" s="128">
        <f>SUM(G72:G74)</f>
        <v>13</v>
      </c>
      <c r="H71" s="129">
        <f t="shared" si="6"/>
        <v>989572.63000000047</v>
      </c>
    </row>
    <row r="72" spans="1:8" ht="21" customHeight="1">
      <c r="A72" s="509"/>
      <c r="B72" s="148">
        <v>530026</v>
      </c>
      <c r="C72" s="83" t="s">
        <v>73</v>
      </c>
      <c r="D72" s="65" t="s">
        <v>13</v>
      </c>
      <c r="E72" s="51">
        <v>0</v>
      </c>
      <c r="F72" s="130">
        <v>-17188.299999999814</v>
      </c>
      <c r="G72" s="51">
        <v>0</v>
      </c>
      <c r="H72" s="130">
        <v>-41351.119999999835</v>
      </c>
    </row>
    <row r="73" spans="1:8" ht="21" customHeight="1">
      <c r="A73" s="509"/>
      <c r="B73" s="148">
        <v>530026</v>
      </c>
      <c r="C73" s="83" t="s">
        <v>61</v>
      </c>
      <c r="D73" s="65" t="s">
        <v>16</v>
      </c>
      <c r="E73" s="51">
        <v>17</v>
      </c>
      <c r="F73" s="130">
        <v>984092.63000000082</v>
      </c>
      <c r="G73" s="51">
        <v>7</v>
      </c>
      <c r="H73" s="130">
        <v>694802.7700000006</v>
      </c>
    </row>
    <row r="74" spans="1:8" ht="21" customHeight="1">
      <c r="A74" s="509"/>
      <c r="B74" s="148">
        <v>530026</v>
      </c>
      <c r="C74" s="83" t="s">
        <v>64</v>
      </c>
      <c r="D74" s="65" t="s">
        <v>17</v>
      </c>
      <c r="E74" s="51">
        <v>20</v>
      </c>
      <c r="F74" s="130">
        <v>685464.96999999974</v>
      </c>
      <c r="G74" s="51">
        <v>6</v>
      </c>
      <c r="H74" s="130">
        <v>336120.97999999975</v>
      </c>
    </row>
    <row r="75" spans="1:8" ht="21" customHeight="1">
      <c r="A75" s="147">
        <v>9</v>
      </c>
      <c r="B75" s="268">
        <v>530032</v>
      </c>
      <c r="C75" s="50" t="s">
        <v>165</v>
      </c>
      <c r="D75" s="127" t="s">
        <v>179</v>
      </c>
      <c r="E75" s="128">
        <f>SUM(E76:E83)</f>
        <v>0</v>
      </c>
      <c r="F75" s="129">
        <f t="shared" ref="F75:H75" si="7">SUM(F76:F83)</f>
        <v>239698.94000000064</v>
      </c>
      <c r="G75" s="128">
        <f>SUM(G76:G83)</f>
        <v>-11</v>
      </c>
      <c r="H75" s="129">
        <f t="shared" si="7"/>
        <v>264014.45999999926</v>
      </c>
    </row>
    <row r="76" spans="1:8" ht="21" customHeight="1">
      <c r="A76" s="509"/>
      <c r="B76" s="148">
        <v>530032</v>
      </c>
      <c r="C76" s="83" t="s">
        <v>52</v>
      </c>
      <c r="D76" s="65" t="s">
        <v>6</v>
      </c>
      <c r="E76" s="51">
        <v>-18</v>
      </c>
      <c r="F76" s="130">
        <v>-367609.84999999963</v>
      </c>
      <c r="G76" s="51">
        <v>-17</v>
      </c>
      <c r="H76" s="130">
        <v>-335758.82999999996</v>
      </c>
    </row>
    <row r="77" spans="1:8" ht="21" customHeight="1">
      <c r="A77" s="509"/>
      <c r="B77" s="148">
        <v>530032</v>
      </c>
      <c r="C77" s="83" t="s">
        <v>54</v>
      </c>
      <c r="D77" s="65" t="s">
        <v>12</v>
      </c>
      <c r="E77" s="51">
        <v>-7</v>
      </c>
      <c r="F77" s="130">
        <v>-132111.09999999998</v>
      </c>
      <c r="G77" s="51">
        <v>-7</v>
      </c>
      <c r="H77" s="130">
        <v>-132111.1</v>
      </c>
    </row>
    <row r="78" spans="1:8" ht="21" customHeight="1">
      <c r="A78" s="509"/>
      <c r="B78" s="148">
        <v>530032</v>
      </c>
      <c r="C78" s="83" t="s">
        <v>73</v>
      </c>
      <c r="D78" s="65" t="s">
        <v>13</v>
      </c>
      <c r="E78" s="51">
        <v>10</v>
      </c>
      <c r="F78" s="130">
        <v>360245.93999999994</v>
      </c>
      <c r="G78" s="51">
        <v>4</v>
      </c>
      <c r="H78" s="130">
        <v>289738.37999999995</v>
      </c>
    </row>
    <row r="79" spans="1:8" ht="21" customHeight="1">
      <c r="A79" s="509"/>
      <c r="B79" s="148">
        <v>530032</v>
      </c>
      <c r="C79" s="83" t="s">
        <v>61</v>
      </c>
      <c r="D79" s="65" t="s">
        <v>16</v>
      </c>
      <c r="E79" s="51">
        <v>23</v>
      </c>
      <c r="F79" s="130">
        <v>531896.19000000041</v>
      </c>
      <c r="G79" s="51">
        <v>21</v>
      </c>
      <c r="H79" s="130">
        <v>581424.81000000006</v>
      </c>
    </row>
    <row r="80" spans="1:8" ht="21" customHeight="1">
      <c r="A80" s="509"/>
      <c r="B80" s="148">
        <v>530032</v>
      </c>
      <c r="C80" s="83" t="s">
        <v>62</v>
      </c>
      <c r="D80" s="65" t="s">
        <v>14</v>
      </c>
      <c r="E80" s="51">
        <v>10</v>
      </c>
      <c r="F80" s="130">
        <v>193412.55000000005</v>
      </c>
      <c r="G80" s="51">
        <v>9</v>
      </c>
      <c r="H80" s="130">
        <v>93152.459999999905</v>
      </c>
    </row>
    <row r="81" spans="1:8" ht="21" customHeight="1">
      <c r="A81" s="509"/>
      <c r="B81" s="148">
        <v>530032</v>
      </c>
      <c r="C81" s="83" t="s">
        <v>63</v>
      </c>
      <c r="D81" s="65" t="s">
        <v>41</v>
      </c>
      <c r="E81" s="51">
        <v>7</v>
      </c>
      <c r="F81" s="130">
        <v>76855.589999999967</v>
      </c>
      <c r="G81" s="51">
        <v>8</v>
      </c>
      <c r="H81" s="130">
        <v>99004.860000000015</v>
      </c>
    </row>
    <row r="82" spans="1:8" ht="21" customHeight="1">
      <c r="A82" s="509"/>
      <c r="B82" s="148">
        <v>530032</v>
      </c>
      <c r="C82" s="83" t="s">
        <v>64</v>
      </c>
      <c r="D82" s="65" t="s">
        <v>17</v>
      </c>
      <c r="E82" s="51">
        <v>-24</v>
      </c>
      <c r="F82" s="130">
        <v>-386536.91000000015</v>
      </c>
      <c r="G82" s="51">
        <v>-27</v>
      </c>
      <c r="H82" s="130">
        <v>-273094.88000000064</v>
      </c>
    </row>
    <row r="83" spans="1:8" ht="21" customHeight="1">
      <c r="A83" s="509"/>
      <c r="B83" s="148">
        <v>530032</v>
      </c>
      <c r="C83" s="83" t="s">
        <v>66</v>
      </c>
      <c r="D83" s="65" t="s">
        <v>18</v>
      </c>
      <c r="E83" s="51">
        <v>-1</v>
      </c>
      <c r="F83" s="130">
        <v>-36453.469999999972</v>
      </c>
      <c r="G83" s="51">
        <v>-2</v>
      </c>
      <c r="H83" s="130">
        <v>-58341.24000000002</v>
      </c>
    </row>
    <row r="84" spans="1:8" ht="21" customHeight="1">
      <c r="A84" s="147">
        <v>10</v>
      </c>
      <c r="B84" s="268">
        <v>530034</v>
      </c>
      <c r="C84" s="50" t="s">
        <v>165</v>
      </c>
      <c r="D84" s="127" t="s">
        <v>195</v>
      </c>
      <c r="E84" s="128">
        <f>SUM(E85:E88)</f>
        <v>0</v>
      </c>
      <c r="F84" s="129">
        <f t="shared" ref="F84:H84" si="8">SUM(F85:F88)</f>
        <v>0</v>
      </c>
      <c r="G84" s="128">
        <f>SUM(G85:G88)</f>
        <v>76</v>
      </c>
      <c r="H84" s="129">
        <f t="shared" si="8"/>
        <v>1813033.310000001</v>
      </c>
    </row>
    <row r="85" spans="1:8" ht="21" customHeight="1">
      <c r="A85" s="509"/>
      <c r="B85" s="148">
        <v>530034</v>
      </c>
      <c r="C85" s="365">
        <v>68</v>
      </c>
      <c r="D85" s="323" t="s">
        <v>13</v>
      </c>
      <c r="E85" s="51">
        <v>0</v>
      </c>
      <c r="F85" s="130">
        <v>0</v>
      </c>
      <c r="G85" s="51">
        <v>46</v>
      </c>
      <c r="H85" s="130">
        <v>994893.08000000042</v>
      </c>
    </row>
    <row r="86" spans="1:8" ht="21" customHeight="1">
      <c r="A86" s="509"/>
      <c r="B86" s="148"/>
      <c r="C86" s="365">
        <v>97</v>
      </c>
      <c r="D86" s="325" t="s">
        <v>16</v>
      </c>
      <c r="E86" s="51">
        <v>0</v>
      </c>
      <c r="F86" s="130">
        <v>0</v>
      </c>
      <c r="G86" s="51">
        <v>24</v>
      </c>
      <c r="H86" s="130">
        <v>334348.56000000052</v>
      </c>
    </row>
    <row r="87" spans="1:8" ht="21" customHeight="1">
      <c r="A87" s="509"/>
      <c r="B87" s="148"/>
      <c r="C87" s="365">
        <v>112</v>
      </c>
      <c r="D87" s="325" t="s">
        <v>17</v>
      </c>
      <c r="E87" s="51">
        <v>0</v>
      </c>
      <c r="F87" s="130">
        <v>0</v>
      </c>
      <c r="G87" s="51">
        <v>19</v>
      </c>
      <c r="H87" s="130">
        <v>444310.83000000007</v>
      </c>
    </row>
    <row r="88" spans="1:8" ht="21" customHeight="1">
      <c r="A88" s="509"/>
      <c r="B88" s="148">
        <v>530034</v>
      </c>
      <c r="C88" s="365">
        <v>136</v>
      </c>
      <c r="D88" s="325" t="s">
        <v>18</v>
      </c>
      <c r="E88" s="51">
        <v>0</v>
      </c>
      <c r="F88" s="130">
        <v>0</v>
      </c>
      <c r="G88" s="51">
        <v>-13</v>
      </c>
      <c r="H88" s="130">
        <v>39480.839999999873</v>
      </c>
    </row>
    <row r="89" spans="1:8" ht="21" customHeight="1">
      <c r="A89" s="147">
        <v>11</v>
      </c>
      <c r="B89" s="268">
        <v>530037</v>
      </c>
      <c r="C89" s="50" t="s">
        <v>165</v>
      </c>
      <c r="D89" s="127" t="s">
        <v>20</v>
      </c>
      <c r="E89" s="128">
        <f>SUM(E90:E93)</f>
        <v>6</v>
      </c>
      <c r="F89" s="129">
        <f t="shared" ref="F89:H89" si="9">SUM(F90:F93)</f>
        <v>835794.93999999971</v>
      </c>
      <c r="G89" s="128">
        <f>SUM(G90:G93)</f>
        <v>15</v>
      </c>
      <c r="H89" s="129">
        <f t="shared" si="9"/>
        <v>1019501.7899999999</v>
      </c>
    </row>
    <row r="90" spans="1:8" ht="21" customHeight="1">
      <c r="A90" s="509"/>
      <c r="B90" s="148">
        <v>530037</v>
      </c>
      <c r="C90" s="83" t="s">
        <v>73</v>
      </c>
      <c r="D90" s="65" t="s">
        <v>13</v>
      </c>
      <c r="E90" s="51">
        <v>6</v>
      </c>
      <c r="F90" s="130">
        <v>297345.39000000013</v>
      </c>
      <c r="G90" s="51">
        <v>15</v>
      </c>
      <c r="H90" s="130">
        <v>478787.72999999986</v>
      </c>
    </row>
    <row r="91" spans="1:8" ht="21" customHeight="1">
      <c r="A91" s="509"/>
      <c r="B91" s="148">
        <v>530037</v>
      </c>
      <c r="C91" s="83" t="s">
        <v>61</v>
      </c>
      <c r="D91" s="65" t="s">
        <v>16</v>
      </c>
      <c r="E91" s="51">
        <v>12</v>
      </c>
      <c r="F91" s="130">
        <v>497111.18999999948</v>
      </c>
      <c r="G91" s="51">
        <v>13</v>
      </c>
      <c r="H91" s="130">
        <v>505807.98000000004</v>
      </c>
    </row>
    <row r="92" spans="1:8" ht="21" customHeight="1">
      <c r="A92" s="509"/>
      <c r="B92" s="148">
        <v>530037</v>
      </c>
      <c r="C92" s="83" t="s">
        <v>64</v>
      </c>
      <c r="D92" s="65" t="s">
        <v>17</v>
      </c>
      <c r="E92" s="51">
        <v>-12</v>
      </c>
      <c r="F92" s="130">
        <v>14350.370000000112</v>
      </c>
      <c r="G92" s="51">
        <v>-12</v>
      </c>
      <c r="H92" s="130">
        <v>14350.37</v>
      </c>
    </row>
    <row r="93" spans="1:8" ht="21" customHeight="1">
      <c r="A93" s="509"/>
      <c r="B93" s="148">
        <v>530037</v>
      </c>
      <c r="C93" s="83" t="s">
        <v>66</v>
      </c>
      <c r="D93" s="65" t="s">
        <v>18</v>
      </c>
      <c r="E93" s="51">
        <v>0</v>
      </c>
      <c r="F93" s="130">
        <v>26987.989999999991</v>
      </c>
      <c r="G93" s="51">
        <v>-1</v>
      </c>
      <c r="H93" s="130">
        <v>20555.709999999974</v>
      </c>
    </row>
    <row r="94" spans="1:8" ht="21" customHeight="1">
      <c r="A94" s="147">
        <v>12</v>
      </c>
      <c r="B94" s="268">
        <v>530040</v>
      </c>
      <c r="C94" s="50" t="s">
        <v>165</v>
      </c>
      <c r="D94" s="127" t="s">
        <v>198</v>
      </c>
      <c r="E94" s="128">
        <f>SUM(E95:E100)</f>
        <v>0</v>
      </c>
      <c r="F94" s="129">
        <f>SUM(F95:F100)</f>
        <v>0</v>
      </c>
      <c r="G94" s="128">
        <f>SUM(G95:G100)</f>
        <v>7</v>
      </c>
      <c r="H94" s="129">
        <f t="shared" ref="H94" si="10">SUM(H95:H100)</f>
        <v>358381.80000000028</v>
      </c>
    </row>
    <row r="95" spans="1:8" ht="21" customHeight="1">
      <c r="A95" s="509"/>
      <c r="B95" s="148">
        <v>530040</v>
      </c>
      <c r="C95" s="365">
        <v>53</v>
      </c>
      <c r="D95" s="325" t="s">
        <v>12</v>
      </c>
      <c r="E95" s="51">
        <v>0</v>
      </c>
      <c r="F95" s="130">
        <v>0</v>
      </c>
      <c r="G95" s="322">
        <v>-2</v>
      </c>
      <c r="H95" s="360">
        <v>-1167.3700000001118</v>
      </c>
    </row>
    <row r="96" spans="1:8" ht="21" customHeight="1">
      <c r="A96" s="509"/>
      <c r="B96" s="148"/>
      <c r="C96" s="365">
        <v>68</v>
      </c>
      <c r="D96" s="323" t="s">
        <v>13</v>
      </c>
      <c r="E96" s="51">
        <v>0</v>
      </c>
      <c r="F96" s="130">
        <v>0</v>
      </c>
      <c r="G96" s="322">
        <v>-2</v>
      </c>
      <c r="H96" s="360">
        <v>101610.16000000015</v>
      </c>
    </row>
    <row r="97" spans="1:8" ht="21" customHeight="1">
      <c r="A97" s="509"/>
      <c r="B97" s="148"/>
      <c r="C97" s="365">
        <v>97</v>
      </c>
      <c r="D97" s="325" t="s">
        <v>16</v>
      </c>
      <c r="E97" s="51">
        <v>0</v>
      </c>
      <c r="F97" s="130">
        <v>0</v>
      </c>
      <c r="G97" s="322">
        <v>3</v>
      </c>
      <c r="H97" s="360">
        <v>253853.90000000037</v>
      </c>
    </row>
    <row r="98" spans="1:8" ht="21" customHeight="1">
      <c r="A98" s="509"/>
      <c r="B98" s="148"/>
      <c r="C98" s="365">
        <v>100</v>
      </c>
      <c r="D98" s="325" t="s">
        <v>14</v>
      </c>
      <c r="E98" s="51">
        <v>0</v>
      </c>
      <c r="F98" s="130">
        <v>0</v>
      </c>
      <c r="G98" s="322">
        <v>2</v>
      </c>
      <c r="H98" s="360">
        <v>76463.219999999972</v>
      </c>
    </row>
    <row r="99" spans="1:8" ht="21" customHeight="1">
      <c r="A99" s="509"/>
      <c r="B99" s="148">
        <v>530040</v>
      </c>
      <c r="C99" s="365">
        <v>112</v>
      </c>
      <c r="D99" s="325" t="s">
        <v>17</v>
      </c>
      <c r="E99" s="51">
        <v>0</v>
      </c>
      <c r="F99" s="130">
        <v>0</v>
      </c>
      <c r="G99" s="322">
        <v>10</v>
      </c>
      <c r="H99" s="360">
        <v>-36178.970000000088</v>
      </c>
    </row>
    <row r="100" spans="1:8" ht="21" customHeight="1">
      <c r="A100" s="509"/>
      <c r="B100" s="148">
        <v>530040</v>
      </c>
      <c r="C100" s="365">
        <v>136</v>
      </c>
      <c r="D100" s="325" t="s">
        <v>18</v>
      </c>
      <c r="E100" s="51">
        <v>0</v>
      </c>
      <c r="F100" s="130">
        <v>0</v>
      </c>
      <c r="G100" s="322">
        <v>-4</v>
      </c>
      <c r="H100" s="360">
        <v>-36199.140000000014</v>
      </c>
    </row>
    <row r="101" spans="1:8" ht="21" customHeight="1">
      <c r="A101" s="147">
        <v>13</v>
      </c>
      <c r="B101" s="268">
        <v>530042</v>
      </c>
      <c r="C101" s="50" t="s">
        <v>165</v>
      </c>
      <c r="D101" s="127" t="s">
        <v>180</v>
      </c>
      <c r="E101" s="128">
        <f>SUM(E102:E107)</f>
        <v>0</v>
      </c>
      <c r="F101" s="129">
        <f t="shared" ref="F101:H101" si="11">SUM(F102:F107)</f>
        <v>0</v>
      </c>
      <c r="G101" s="128">
        <f>SUM(G102:G107)</f>
        <v>-174</v>
      </c>
      <c r="H101" s="129">
        <f t="shared" si="11"/>
        <v>-3132527.1600000011</v>
      </c>
    </row>
    <row r="102" spans="1:8" ht="21" customHeight="1">
      <c r="A102" s="509"/>
      <c r="B102" s="148">
        <v>530042</v>
      </c>
      <c r="C102" s="83" t="s">
        <v>54</v>
      </c>
      <c r="D102" s="65" t="s">
        <v>12</v>
      </c>
      <c r="E102" s="51">
        <v>0</v>
      </c>
      <c r="F102" s="130">
        <v>0</v>
      </c>
      <c r="G102" s="51">
        <v>-16</v>
      </c>
      <c r="H102" s="130">
        <v>-323637.77</v>
      </c>
    </row>
    <row r="103" spans="1:8" ht="21" customHeight="1">
      <c r="A103" s="509"/>
      <c r="B103" s="148">
        <v>530042</v>
      </c>
      <c r="C103" s="83" t="s">
        <v>73</v>
      </c>
      <c r="D103" s="65" t="s">
        <v>13</v>
      </c>
      <c r="E103" s="51">
        <v>0</v>
      </c>
      <c r="F103" s="130">
        <v>0</v>
      </c>
      <c r="G103" s="51">
        <v>-2</v>
      </c>
      <c r="H103" s="130">
        <v>-31431.050000000003</v>
      </c>
    </row>
    <row r="104" spans="1:8" ht="21" customHeight="1">
      <c r="A104" s="509"/>
      <c r="B104" s="148">
        <v>530042</v>
      </c>
      <c r="C104" s="83" t="s">
        <v>61</v>
      </c>
      <c r="D104" s="65" t="s">
        <v>16</v>
      </c>
      <c r="E104" s="51">
        <v>0</v>
      </c>
      <c r="F104" s="130">
        <v>0</v>
      </c>
      <c r="G104" s="51">
        <v>-36</v>
      </c>
      <c r="H104" s="130">
        <v>-899483.30000000075</v>
      </c>
    </row>
    <row r="105" spans="1:8" ht="21" customHeight="1">
      <c r="A105" s="509"/>
      <c r="B105" s="148">
        <v>530042</v>
      </c>
      <c r="C105" s="83" t="s">
        <v>62</v>
      </c>
      <c r="D105" s="65" t="s">
        <v>14</v>
      </c>
      <c r="E105" s="51">
        <v>0</v>
      </c>
      <c r="F105" s="130">
        <v>0</v>
      </c>
      <c r="G105" s="51">
        <v>-27</v>
      </c>
      <c r="H105" s="130">
        <v>-429767.51</v>
      </c>
    </row>
    <row r="106" spans="1:8" ht="21" customHeight="1">
      <c r="A106" s="509"/>
      <c r="B106" s="148">
        <v>530042</v>
      </c>
      <c r="C106" s="83" t="s">
        <v>64</v>
      </c>
      <c r="D106" s="65" t="s">
        <v>17</v>
      </c>
      <c r="E106" s="51">
        <v>0</v>
      </c>
      <c r="F106" s="130">
        <v>0</v>
      </c>
      <c r="G106" s="51">
        <v>-52</v>
      </c>
      <c r="H106" s="130">
        <v>-1028733.2000000004</v>
      </c>
    </row>
    <row r="107" spans="1:8" ht="21" customHeight="1">
      <c r="A107" s="509"/>
      <c r="B107" s="148">
        <v>530042</v>
      </c>
      <c r="C107" s="83" t="s">
        <v>66</v>
      </c>
      <c r="D107" s="65" t="s">
        <v>18</v>
      </c>
      <c r="E107" s="51">
        <v>0</v>
      </c>
      <c r="F107" s="130">
        <v>0</v>
      </c>
      <c r="G107" s="51">
        <v>-41</v>
      </c>
      <c r="H107" s="130">
        <v>-419474.3299999999</v>
      </c>
    </row>
    <row r="108" spans="1:8" ht="21" customHeight="1">
      <c r="A108" s="147">
        <v>14</v>
      </c>
      <c r="B108" s="268">
        <v>530050</v>
      </c>
      <c r="C108" s="50" t="s">
        <v>165</v>
      </c>
      <c r="D108" s="127" t="s">
        <v>182</v>
      </c>
      <c r="E108" s="128">
        <f>SUM(E109:E110)</f>
        <v>80</v>
      </c>
      <c r="F108" s="129">
        <f>SUM(F109:F110)</f>
        <v>10488075.569999997</v>
      </c>
      <c r="G108" s="128">
        <f>SUM(G109:G110)</f>
        <v>457</v>
      </c>
      <c r="H108" s="129">
        <f>SUM(H109:H110)</f>
        <v>28501744.560000021</v>
      </c>
    </row>
    <row r="109" spans="1:8" ht="21" customHeight="1">
      <c r="A109" s="513"/>
      <c r="B109" s="148">
        <v>530050</v>
      </c>
      <c r="C109" s="365">
        <v>60</v>
      </c>
      <c r="D109" s="325" t="s">
        <v>24</v>
      </c>
      <c r="E109" s="51">
        <v>0</v>
      </c>
      <c r="F109" s="130">
        <v>0</v>
      </c>
      <c r="G109" s="322">
        <v>514</v>
      </c>
      <c r="H109" s="360">
        <v>35961367.980000019</v>
      </c>
    </row>
    <row r="110" spans="1:8" ht="21" customHeight="1">
      <c r="A110" s="514"/>
      <c r="B110" s="148">
        <v>530050</v>
      </c>
      <c r="C110" s="365">
        <v>166</v>
      </c>
      <c r="D110" s="325" t="s">
        <v>25</v>
      </c>
      <c r="E110" s="51">
        <v>80</v>
      </c>
      <c r="F110" s="130">
        <v>10488075.569999997</v>
      </c>
      <c r="G110" s="322">
        <v>-57</v>
      </c>
      <c r="H110" s="360">
        <v>-7459623.4199999981</v>
      </c>
    </row>
    <row r="111" spans="1:8" ht="21" customHeight="1">
      <c r="A111" s="147">
        <v>15</v>
      </c>
      <c r="B111" s="268">
        <v>530052</v>
      </c>
      <c r="C111" s="50" t="s">
        <v>165</v>
      </c>
      <c r="D111" s="127" t="s">
        <v>183</v>
      </c>
      <c r="E111" s="128">
        <f>SUM(E112:E113)</f>
        <v>0</v>
      </c>
      <c r="F111" s="129">
        <f t="shared" ref="F111:H111" si="12">SUM(F112:F113)</f>
        <v>219061.5</v>
      </c>
      <c r="G111" s="128">
        <f>SUM(G112:G113)</f>
        <v>-2</v>
      </c>
      <c r="H111" s="129">
        <f t="shared" si="12"/>
        <v>31415.189999997616</v>
      </c>
    </row>
    <row r="112" spans="1:8" ht="21" customHeight="1">
      <c r="A112" s="509"/>
      <c r="B112" s="148">
        <v>530052</v>
      </c>
      <c r="C112" s="83">
        <v>14</v>
      </c>
      <c r="D112" s="65" t="s">
        <v>47</v>
      </c>
      <c r="E112" s="51">
        <v>0</v>
      </c>
      <c r="F112" s="130">
        <v>-366711.99000000209</v>
      </c>
      <c r="G112" s="51">
        <v>0</v>
      </c>
      <c r="H112" s="130">
        <v>-410036.16000000178</v>
      </c>
    </row>
    <row r="113" spans="1:11" ht="21" customHeight="1">
      <c r="A113" s="509"/>
      <c r="B113" s="148">
        <v>530052</v>
      </c>
      <c r="C113" s="83" t="s">
        <v>61</v>
      </c>
      <c r="D113" s="65" t="s">
        <v>16</v>
      </c>
      <c r="E113" s="51">
        <v>0</v>
      </c>
      <c r="F113" s="130">
        <v>585773.49000000209</v>
      </c>
      <c r="G113" s="51">
        <v>-2</v>
      </c>
      <c r="H113" s="130">
        <v>441451.34999999939</v>
      </c>
    </row>
    <row r="114" spans="1:11" ht="21" customHeight="1">
      <c r="A114" s="147">
        <v>16</v>
      </c>
      <c r="B114" s="268">
        <v>530054</v>
      </c>
      <c r="C114" s="50" t="s">
        <v>165</v>
      </c>
      <c r="D114" s="127" t="s">
        <v>199</v>
      </c>
      <c r="E114" s="128">
        <f>E115</f>
        <v>65</v>
      </c>
      <c r="F114" s="129">
        <f t="shared" ref="F114:H114" si="13">F115</f>
        <v>0</v>
      </c>
      <c r="G114" s="128">
        <f>G115</f>
        <v>108</v>
      </c>
      <c r="H114" s="129">
        <f t="shared" si="13"/>
        <v>-1175793.5100000054</v>
      </c>
    </row>
    <row r="115" spans="1:11" ht="21" customHeight="1">
      <c r="A115" s="284"/>
      <c r="B115" s="269">
        <v>530054</v>
      </c>
      <c r="C115" s="83" t="s">
        <v>87</v>
      </c>
      <c r="D115" s="65" t="s">
        <v>21</v>
      </c>
      <c r="E115" s="51">
        <v>65</v>
      </c>
      <c r="F115" s="130">
        <v>0</v>
      </c>
      <c r="G115" s="51">
        <v>108</v>
      </c>
      <c r="H115" s="130">
        <v>-1175793.5100000054</v>
      </c>
    </row>
    <row r="116" spans="1:11" ht="21" customHeight="1">
      <c r="A116" s="147">
        <v>17</v>
      </c>
      <c r="B116" s="268">
        <v>530055</v>
      </c>
      <c r="C116" s="50" t="s">
        <v>165</v>
      </c>
      <c r="D116" s="127" t="s">
        <v>285</v>
      </c>
      <c r="E116" s="128">
        <f t="shared" ref="E116:F116" si="14">E117</f>
        <v>0</v>
      </c>
      <c r="F116" s="129">
        <f t="shared" si="14"/>
        <v>0</v>
      </c>
      <c r="G116" s="128">
        <f>G117</f>
        <v>-3</v>
      </c>
      <c r="H116" s="129">
        <f t="shared" ref="H116" si="15">H117</f>
        <v>614804.70999999903</v>
      </c>
    </row>
    <row r="117" spans="1:11" ht="21" customHeight="1">
      <c r="A117" s="318"/>
      <c r="B117" s="379">
        <v>530055</v>
      </c>
      <c r="C117" s="369">
        <v>16</v>
      </c>
      <c r="D117" s="323" t="s">
        <v>286</v>
      </c>
      <c r="E117" s="51">
        <v>0</v>
      </c>
      <c r="F117" s="130">
        <v>0</v>
      </c>
      <c r="G117" s="51">
        <v>-3</v>
      </c>
      <c r="H117" s="130">
        <v>614804.70999999903</v>
      </c>
    </row>
    <row r="118" spans="1:11" ht="21" customHeight="1">
      <c r="A118" s="147">
        <v>18</v>
      </c>
      <c r="B118" s="268">
        <v>530188</v>
      </c>
      <c r="C118" s="50" t="s">
        <v>165</v>
      </c>
      <c r="D118" s="127" t="s">
        <v>29</v>
      </c>
      <c r="E118" s="128">
        <f>SUM(E119:E132)</f>
        <v>0</v>
      </c>
      <c r="F118" s="129">
        <f t="shared" ref="F118:H118" si="16">SUM(F119:F132)</f>
        <v>0</v>
      </c>
      <c r="G118" s="128">
        <f>SUM(G119:G132)</f>
        <v>115</v>
      </c>
      <c r="H118" s="129">
        <f t="shared" si="16"/>
        <v>5467259.7700000014</v>
      </c>
      <c r="K118" s="253"/>
    </row>
    <row r="119" spans="1:11" ht="21" customHeight="1">
      <c r="A119" s="509"/>
      <c r="B119" s="148">
        <v>530188</v>
      </c>
      <c r="C119" s="83" t="s">
        <v>51</v>
      </c>
      <c r="D119" s="65" t="s">
        <v>154</v>
      </c>
      <c r="E119" s="51">
        <v>0</v>
      </c>
      <c r="F119" s="130">
        <v>0</v>
      </c>
      <c r="G119" s="51">
        <v>-2</v>
      </c>
      <c r="H119" s="130">
        <v>-15154.509999999995</v>
      </c>
      <c r="K119" s="253"/>
    </row>
    <row r="120" spans="1:11" ht="21" customHeight="1">
      <c r="A120" s="509"/>
      <c r="B120" s="148">
        <v>530188</v>
      </c>
      <c r="C120" s="83" t="s">
        <v>87</v>
      </c>
      <c r="D120" s="65" t="s">
        <v>21</v>
      </c>
      <c r="E120" s="51">
        <v>0</v>
      </c>
      <c r="F120" s="130">
        <v>0</v>
      </c>
      <c r="G120" s="51">
        <v>-209</v>
      </c>
      <c r="H120" s="130">
        <v>-8229157.799999998</v>
      </c>
    </row>
    <row r="121" spans="1:11" ht="21" customHeight="1">
      <c r="A121" s="509"/>
      <c r="B121" s="148">
        <v>530188</v>
      </c>
      <c r="C121" s="83" t="s">
        <v>52</v>
      </c>
      <c r="D121" s="65" t="s">
        <v>6</v>
      </c>
      <c r="E121" s="51">
        <v>0</v>
      </c>
      <c r="F121" s="130">
        <v>0</v>
      </c>
      <c r="G121" s="51">
        <v>6</v>
      </c>
      <c r="H121" s="130">
        <v>2489274.6999999988</v>
      </c>
    </row>
    <row r="122" spans="1:11" ht="21" customHeight="1">
      <c r="A122" s="509"/>
      <c r="B122" s="148">
        <v>530188</v>
      </c>
      <c r="C122" s="83" t="s">
        <v>54</v>
      </c>
      <c r="D122" s="65" t="s">
        <v>12</v>
      </c>
      <c r="E122" s="51">
        <v>0</v>
      </c>
      <c r="F122" s="130">
        <v>0</v>
      </c>
      <c r="G122" s="51">
        <v>34</v>
      </c>
      <c r="H122" s="130">
        <v>4068169.6599999997</v>
      </c>
      <c r="K122" s="253"/>
    </row>
    <row r="123" spans="1:11" ht="21" customHeight="1">
      <c r="A123" s="509"/>
      <c r="B123" s="148">
        <v>530188</v>
      </c>
      <c r="C123" s="83">
        <v>55</v>
      </c>
      <c r="D123" s="65" t="s">
        <v>38</v>
      </c>
      <c r="E123" s="51">
        <v>0</v>
      </c>
      <c r="F123" s="130">
        <v>0</v>
      </c>
      <c r="G123" s="51">
        <v>-3</v>
      </c>
      <c r="H123" s="130">
        <v>-115479.55</v>
      </c>
      <c r="K123" s="253"/>
    </row>
    <row r="124" spans="1:11" ht="21" customHeight="1">
      <c r="A124" s="509"/>
      <c r="B124" s="148">
        <v>530188</v>
      </c>
      <c r="C124" s="83" t="s">
        <v>73</v>
      </c>
      <c r="D124" s="65" t="s">
        <v>13</v>
      </c>
      <c r="E124" s="51">
        <v>0</v>
      </c>
      <c r="F124" s="130">
        <v>0</v>
      </c>
      <c r="G124" s="51">
        <v>75</v>
      </c>
      <c r="H124" s="130">
        <v>2317201.91</v>
      </c>
    </row>
    <row r="125" spans="1:11" ht="21" customHeight="1">
      <c r="A125" s="509"/>
      <c r="B125" s="148">
        <v>530188</v>
      </c>
      <c r="C125" s="83" t="s">
        <v>59</v>
      </c>
      <c r="D125" s="65" t="s">
        <v>7</v>
      </c>
      <c r="E125" s="51">
        <v>0</v>
      </c>
      <c r="F125" s="130">
        <v>0</v>
      </c>
      <c r="G125" s="51">
        <v>-39</v>
      </c>
      <c r="H125" s="130">
        <v>-727617.74000000011</v>
      </c>
    </row>
    <row r="126" spans="1:11" ht="21" customHeight="1">
      <c r="A126" s="509"/>
      <c r="B126" s="148">
        <v>530188</v>
      </c>
      <c r="C126" s="83" t="s">
        <v>60</v>
      </c>
      <c r="D126" s="65" t="s">
        <v>8</v>
      </c>
      <c r="E126" s="51">
        <v>0</v>
      </c>
      <c r="F126" s="130">
        <v>0</v>
      </c>
      <c r="G126" s="51">
        <v>-5</v>
      </c>
      <c r="H126" s="130">
        <v>-149945.60000000001</v>
      </c>
      <c r="K126" s="253"/>
    </row>
    <row r="127" spans="1:11" ht="21" customHeight="1">
      <c r="A127" s="509"/>
      <c r="B127" s="148">
        <v>530188</v>
      </c>
      <c r="C127" s="83" t="s">
        <v>61</v>
      </c>
      <c r="D127" s="65" t="s">
        <v>16</v>
      </c>
      <c r="E127" s="51">
        <v>0</v>
      </c>
      <c r="F127" s="130">
        <v>0</v>
      </c>
      <c r="G127" s="51">
        <v>108</v>
      </c>
      <c r="H127" s="130">
        <v>1562023.4500000007</v>
      </c>
    </row>
    <row r="128" spans="1:11" ht="21" customHeight="1">
      <c r="A128" s="509"/>
      <c r="B128" s="148">
        <v>530188</v>
      </c>
      <c r="C128" s="83" t="s">
        <v>62</v>
      </c>
      <c r="D128" s="65" t="s">
        <v>14</v>
      </c>
      <c r="E128" s="51">
        <v>0</v>
      </c>
      <c r="F128" s="130">
        <v>0</v>
      </c>
      <c r="G128" s="51">
        <v>55</v>
      </c>
      <c r="H128" s="130">
        <v>482866.09999999916</v>
      </c>
    </row>
    <row r="129" spans="1:8" ht="21" customHeight="1">
      <c r="A129" s="509"/>
      <c r="B129" s="148">
        <v>530188</v>
      </c>
      <c r="C129" s="83" t="s">
        <v>63</v>
      </c>
      <c r="D129" s="65" t="s">
        <v>41</v>
      </c>
      <c r="E129" s="51">
        <v>0</v>
      </c>
      <c r="F129" s="130">
        <v>0</v>
      </c>
      <c r="G129" s="51">
        <v>-37</v>
      </c>
      <c r="H129" s="130">
        <v>-487610.44999999995</v>
      </c>
    </row>
    <row r="130" spans="1:8" ht="21" customHeight="1">
      <c r="A130" s="509"/>
      <c r="B130" s="148">
        <v>530188</v>
      </c>
      <c r="C130" s="83" t="s">
        <v>64</v>
      </c>
      <c r="D130" s="65" t="s">
        <v>17</v>
      </c>
      <c r="E130" s="51">
        <v>0</v>
      </c>
      <c r="F130" s="130">
        <v>0</v>
      </c>
      <c r="G130" s="51">
        <v>102</v>
      </c>
      <c r="H130" s="130">
        <v>3550934.5300000012</v>
      </c>
    </row>
    <row r="131" spans="1:8" ht="21" customHeight="1">
      <c r="A131" s="509"/>
      <c r="B131" s="148">
        <v>530188</v>
      </c>
      <c r="C131" s="83" t="s">
        <v>65</v>
      </c>
      <c r="D131" s="65" t="s">
        <v>32</v>
      </c>
      <c r="E131" s="51">
        <v>0</v>
      </c>
      <c r="F131" s="130">
        <v>0</v>
      </c>
      <c r="G131" s="51">
        <v>-7</v>
      </c>
      <c r="H131" s="130">
        <v>-154704.92000000001</v>
      </c>
    </row>
    <row r="132" spans="1:8" ht="21" customHeight="1">
      <c r="A132" s="509"/>
      <c r="B132" s="148">
        <v>530188</v>
      </c>
      <c r="C132" s="83" t="s">
        <v>66</v>
      </c>
      <c r="D132" s="65" t="s">
        <v>18</v>
      </c>
      <c r="E132" s="51">
        <v>0</v>
      </c>
      <c r="F132" s="130">
        <v>0</v>
      </c>
      <c r="G132" s="51">
        <v>37</v>
      </c>
      <c r="H132" s="130">
        <v>876459.99000000034</v>
      </c>
    </row>
    <row r="133" spans="1:8" ht="21" customHeight="1">
      <c r="A133" s="147">
        <v>19</v>
      </c>
      <c r="B133" s="268">
        <v>530225</v>
      </c>
      <c r="C133" s="50" t="s">
        <v>165</v>
      </c>
      <c r="D133" s="127" t="s">
        <v>193</v>
      </c>
      <c r="E133" s="128">
        <f>SUM(E134:E136)</f>
        <v>0</v>
      </c>
      <c r="F133" s="129">
        <f t="shared" ref="F133:H133" si="17">SUM(F134:F136)</f>
        <v>0</v>
      </c>
      <c r="G133" s="128">
        <f>SUM(G134:G136)</f>
        <v>-56</v>
      </c>
      <c r="H133" s="129">
        <f t="shared" si="17"/>
        <v>-512520.17999999912</v>
      </c>
    </row>
    <row r="134" spans="1:8" ht="21" customHeight="1">
      <c r="A134" s="510"/>
      <c r="B134" s="148">
        <v>530225</v>
      </c>
      <c r="C134" s="369">
        <v>28</v>
      </c>
      <c r="D134" s="323" t="s">
        <v>21</v>
      </c>
      <c r="E134" s="51">
        <v>0</v>
      </c>
      <c r="F134" s="130">
        <v>0</v>
      </c>
      <c r="G134" s="51">
        <v>-6</v>
      </c>
      <c r="H134" s="130">
        <v>-329827.44</v>
      </c>
    </row>
    <row r="135" spans="1:8" ht="21" customHeight="1">
      <c r="A135" s="511"/>
      <c r="B135" s="148">
        <v>530225</v>
      </c>
      <c r="C135" s="83" t="s">
        <v>73</v>
      </c>
      <c r="D135" s="65" t="s">
        <v>13</v>
      </c>
      <c r="E135" s="51">
        <v>0</v>
      </c>
      <c r="F135" s="130">
        <v>0</v>
      </c>
      <c r="G135" s="51">
        <v>-29</v>
      </c>
      <c r="H135" s="130">
        <v>-166127.49999999965</v>
      </c>
    </row>
    <row r="136" spans="1:8" ht="21" customHeight="1">
      <c r="A136" s="512"/>
      <c r="B136" s="148">
        <v>530225</v>
      </c>
      <c r="C136" s="83" t="s">
        <v>61</v>
      </c>
      <c r="D136" s="65" t="s">
        <v>16</v>
      </c>
      <c r="E136" s="51">
        <v>0</v>
      </c>
      <c r="F136" s="130">
        <v>0</v>
      </c>
      <c r="G136" s="51">
        <v>-21</v>
      </c>
      <c r="H136" s="130">
        <v>-16565.239999999467</v>
      </c>
    </row>
    <row r="137" spans="1:8" ht="21" customHeight="1">
      <c r="A137" s="147">
        <v>20</v>
      </c>
      <c r="B137" s="268">
        <v>530227</v>
      </c>
      <c r="C137" s="50" t="s">
        <v>165</v>
      </c>
      <c r="D137" s="127" t="s">
        <v>200</v>
      </c>
      <c r="E137" s="128">
        <f>SUM(E138:E147)</f>
        <v>0</v>
      </c>
      <c r="F137" s="129">
        <f t="shared" ref="F137:H137" si="18">SUM(F138:F147)</f>
        <v>-0.12000000290572643</v>
      </c>
      <c r="G137" s="128">
        <f>SUM(G138:G147)</f>
        <v>-80</v>
      </c>
      <c r="H137" s="129">
        <f t="shared" si="18"/>
        <v>5745011.1500000022</v>
      </c>
    </row>
    <row r="138" spans="1:8" ht="21" customHeight="1">
      <c r="A138" s="509"/>
      <c r="B138" s="148">
        <v>530227</v>
      </c>
      <c r="C138" s="83" t="s">
        <v>87</v>
      </c>
      <c r="D138" s="65" t="s">
        <v>21</v>
      </c>
      <c r="E138" s="51">
        <v>-260</v>
      </c>
      <c r="F138" s="130">
        <v>-6792166.370000001</v>
      </c>
      <c r="G138" s="51">
        <v>-257</v>
      </c>
      <c r="H138" s="130">
        <v>-6947196.8700000001</v>
      </c>
    </row>
    <row r="139" spans="1:8" ht="21" customHeight="1">
      <c r="A139" s="509"/>
      <c r="B139" s="148">
        <v>530227</v>
      </c>
      <c r="C139" s="83" t="s">
        <v>52</v>
      </c>
      <c r="D139" s="65" t="s">
        <v>6</v>
      </c>
      <c r="E139" s="51">
        <v>60</v>
      </c>
      <c r="F139" s="130">
        <v>1567723.200000003</v>
      </c>
      <c r="G139" s="51">
        <v>61</v>
      </c>
      <c r="H139" s="130">
        <v>-4175616.0000000023</v>
      </c>
    </row>
    <row r="140" spans="1:8" ht="21" customHeight="1">
      <c r="A140" s="509"/>
      <c r="B140" s="148">
        <v>530227</v>
      </c>
      <c r="C140" s="83" t="s">
        <v>54</v>
      </c>
      <c r="D140" s="65" t="s">
        <v>12</v>
      </c>
      <c r="E140" s="51">
        <v>58</v>
      </c>
      <c r="F140" s="130">
        <v>1988959.7399999946</v>
      </c>
      <c r="G140" s="51">
        <v>53</v>
      </c>
      <c r="H140" s="130">
        <v>5154929.8700000029</v>
      </c>
    </row>
    <row r="141" spans="1:8" ht="21" customHeight="1">
      <c r="A141" s="509"/>
      <c r="B141" s="148">
        <v>530227</v>
      </c>
      <c r="C141" s="83">
        <v>55</v>
      </c>
      <c r="D141" s="65" t="s">
        <v>38</v>
      </c>
      <c r="E141" s="51">
        <v>-4</v>
      </c>
      <c r="F141" s="130">
        <v>177007.5</v>
      </c>
      <c r="G141" s="51">
        <v>-4</v>
      </c>
      <c r="H141" s="130">
        <v>644828.16000000015</v>
      </c>
    </row>
    <row r="142" spans="1:8" ht="21" customHeight="1">
      <c r="A142" s="509"/>
      <c r="B142" s="148">
        <v>530227</v>
      </c>
      <c r="C142" s="83" t="s">
        <v>73</v>
      </c>
      <c r="D142" s="65" t="s">
        <v>13</v>
      </c>
      <c r="E142" s="51">
        <v>54</v>
      </c>
      <c r="F142" s="130">
        <v>476289.3900000006</v>
      </c>
      <c r="G142" s="51">
        <v>58</v>
      </c>
      <c r="H142" s="130">
        <v>2006132.8000000003</v>
      </c>
    </row>
    <row r="143" spans="1:8" ht="21" customHeight="1">
      <c r="A143" s="509"/>
      <c r="B143" s="148">
        <v>530227</v>
      </c>
      <c r="C143" s="83" t="s">
        <v>61</v>
      </c>
      <c r="D143" s="65" t="s">
        <v>16</v>
      </c>
      <c r="E143" s="51">
        <v>90</v>
      </c>
      <c r="F143" s="130">
        <v>1926557.7300000004</v>
      </c>
      <c r="G143" s="51">
        <v>10</v>
      </c>
      <c r="H143" s="130">
        <v>1388509.3700000006</v>
      </c>
    </row>
    <row r="144" spans="1:8" ht="21" customHeight="1">
      <c r="A144" s="509"/>
      <c r="B144" s="148">
        <v>530227</v>
      </c>
      <c r="C144" s="83" t="s">
        <v>62</v>
      </c>
      <c r="D144" s="65" t="s">
        <v>14</v>
      </c>
      <c r="E144" s="51">
        <v>-62</v>
      </c>
      <c r="F144" s="130">
        <v>-1619670.6400000006</v>
      </c>
      <c r="G144" s="51">
        <v>-76</v>
      </c>
      <c r="H144" s="130">
        <v>-1064005.0899999992</v>
      </c>
    </row>
    <row r="145" spans="1:8" ht="21" customHeight="1">
      <c r="A145" s="509"/>
      <c r="B145" s="148">
        <v>530227</v>
      </c>
      <c r="C145" s="83" t="s">
        <v>64</v>
      </c>
      <c r="D145" s="65" t="s">
        <v>17</v>
      </c>
      <c r="E145" s="51">
        <v>72</v>
      </c>
      <c r="F145" s="130">
        <v>1880907.8399999999</v>
      </c>
      <c r="G145" s="51">
        <v>78</v>
      </c>
      <c r="H145" s="130">
        <v>5369946.2000000011</v>
      </c>
    </row>
    <row r="146" spans="1:8" ht="21" customHeight="1">
      <c r="A146" s="509"/>
      <c r="B146" s="148">
        <v>530227</v>
      </c>
      <c r="C146" s="83" t="s">
        <v>66</v>
      </c>
      <c r="D146" s="65" t="s">
        <v>18</v>
      </c>
      <c r="E146" s="51">
        <v>-11</v>
      </c>
      <c r="F146" s="130">
        <v>0</v>
      </c>
      <c r="G146" s="51">
        <v>-9</v>
      </c>
      <c r="H146" s="130">
        <v>2847859.0399999991</v>
      </c>
    </row>
    <row r="147" spans="1:8" ht="21" customHeight="1">
      <c r="A147" s="509"/>
      <c r="B147" s="148">
        <v>530227</v>
      </c>
      <c r="C147" s="83" t="s">
        <v>67</v>
      </c>
      <c r="D147" s="65" t="s">
        <v>19</v>
      </c>
      <c r="E147" s="51">
        <v>3</v>
      </c>
      <c r="F147" s="130">
        <v>394391.49000000022</v>
      </c>
      <c r="G147" s="51">
        <v>6</v>
      </c>
      <c r="H147" s="130">
        <v>519623.67000000016</v>
      </c>
    </row>
    <row r="148" spans="1:8" ht="21" customHeight="1">
      <c r="A148" s="147">
        <v>21</v>
      </c>
      <c r="B148" s="268">
        <v>530228</v>
      </c>
      <c r="C148" s="50" t="s">
        <v>165</v>
      </c>
      <c r="D148" s="127" t="s">
        <v>194</v>
      </c>
      <c r="E148" s="128">
        <f>SUM(E149:E150)</f>
        <v>0</v>
      </c>
      <c r="F148" s="129">
        <f t="shared" ref="F148:H148" si="19">SUM(F149:F150)</f>
        <v>311940.42999999947</v>
      </c>
      <c r="G148" s="128">
        <f>SUM(G149:G150)</f>
        <v>-3</v>
      </c>
      <c r="H148" s="129">
        <f t="shared" si="19"/>
        <v>238333.46000000025</v>
      </c>
    </row>
    <row r="149" spans="1:8" ht="21" customHeight="1">
      <c r="A149" s="509"/>
      <c r="B149" s="148">
        <v>530228</v>
      </c>
      <c r="C149" s="83" t="s">
        <v>61</v>
      </c>
      <c r="D149" s="65" t="s">
        <v>16</v>
      </c>
      <c r="E149" s="51">
        <v>0</v>
      </c>
      <c r="F149" s="130">
        <v>262673.1099999994</v>
      </c>
      <c r="G149" s="51">
        <v>-3</v>
      </c>
      <c r="H149" s="130">
        <v>193738.52000000014</v>
      </c>
    </row>
    <row r="150" spans="1:8" ht="21" customHeight="1">
      <c r="A150" s="509"/>
      <c r="B150" s="148">
        <v>530228</v>
      </c>
      <c r="C150" s="149" t="s">
        <v>64</v>
      </c>
      <c r="D150" s="150" t="s">
        <v>17</v>
      </c>
      <c r="E150" s="51">
        <v>0</v>
      </c>
      <c r="F150" s="130">
        <v>49267.320000000065</v>
      </c>
      <c r="G150" s="51">
        <v>0</v>
      </c>
      <c r="H150" s="130">
        <v>44594.940000000111</v>
      </c>
    </row>
    <row r="151" spans="1:8" ht="41.25" customHeight="1">
      <c r="A151" s="147">
        <v>22</v>
      </c>
      <c r="B151" s="270" t="s">
        <v>165</v>
      </c>
      <c r="C151" s="151" t="s">
        <v>165</v>
      </c>
      <c r="D151" s="100" t="s">
        <v>33</v>
      </c>
      <c r="E151" s="142"/>
      <c r="F151" s="145"/>
      <c r="G151" s="142">
        <v>-659</v>
      </c>
      <c r="H151" s="145">
        <v>-65589183.090000004</v>
      </c>
    </row>
    <row r="152" spans="1:8" ht="21" customHeight="1">
      <c r="A152" s="464" t="s">
        <v>34</v>
      </c>
      <c r="B152" s="464"/>
      <c r="C152" s="464"/>
      <c r="D152" s="464"/>
      <c r="E152" s="142">
        <f>E12+E34+E50+E61+E65+E67+E69+E71+E75+E84+E89+E94+E101+E108+E111+E114+E116+E118+E133+E137+E148+E151</f>
        <v>461</v>
      </c>
      <c r="F152" s="145">
        <f t="shared" ref="F152" si="20">F12+F34+F50+F61+F65+F67+F69+F71+F75+F84+F89+F94+F101+F108+F111+F114+F116+F118+F133+F137+F148+F151</f>
        <v>13231526.150000051</v>
      </c>
      <c r="G152" s="142">
        <f>G12+G34+G50+G61+G65+G67+G69+G71+G75+G84+G89+G94+G101+G108+G111+G114+G116+G118+G133+G137+G148+G151</f>
        <v>0</v>
      </c>
      <c r="H152" s="145">
        <f>H12+H34+H50+H61+H65+H67+H69+H71+H75+H84+H89+H94+H101+H108+H111+H114+H116+H118+H133+H137+H148+H151</f>
        <v>0</v>
      </c>
    </row>
    <row r="155" spans="1:8" ht="21" customHeight="1">
      <c r="G155" s="380"/>
    </row>
  </sheetData>
  <mergeCells count="26">
    <mergeCell ref="A13:A33"/>
    <mergeCell ref="A35:A49"/>
    <mergeCell ref="A51:A60"/>
    <mergeCell ref="A72:A74"/>
    <mergeCell ref="A76:A83"/>
    <mergeCell ref="A62:A64"/>
    <mergeCell ref="A90:A93"/>
    <mergeCell ref="A85:A88"/>
    <mergeCell ref="A95:A100"/>
    <mergeCell ref="A102:A107"/>
    <mergeCell ref="A112:A113"/>
    <mergeCell ref="A109:A110"/>
    <mergeCell ref="A119:A132"/>
    <mergeCell ref="A138:A147"/>
    <mergeCell ref="A152:D152"/>
    <mergeCell ref="A149:A150"/>
    <mergeCell ref="A134:A136"/>
    <mergeCell ref="F3:H3"/>
    <mergeCell ref="A5:F5"/>
    <mergeCell ref="A9:A10"/>
    <mergeCell ref="B9:B10"/>
    <mergeCell ref="C9:C10"/>
    <mergeCell ref="D9:D10"/>
    <mergeCell ref="E9:F9"/>
    <mergeCell ref="A7:H7"/>
    <mergeCell ref="G9:H9"/>
  </mergeCells>
  <pageMargins left="0.78740157480314965" right="0.39370078740157483" top="0.39370078740157483" bottom="0.39370078740157483" header="0.31496062992125984" footer="0.31496062992125984"/>
  <pageSetup paperSize="9" scale="58" fitToHeight="0" orientation="portrait" r:id="rId1"/>
  <ignoredErrors>
    <ignoredError sqref="F71 F75 E89:F89 H94 E94:F94 E101:F101 E111:F111 E118:F118 E137:F137 E148:G148 H71 H75 H89 H101 H111 H118 H137 H148" formulaRange="1"/>
    <ignoredError sqref="C13:C33 C119:C132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</sheetPr>
  <dimension ref="A1:R52"/>
  <sheetViews>
    <sheetView zoomScale="80" zoomScaleNormal="80" workbookViewId="0">
      <pane xSplit="4" ySplit="11" topLeftCell="E24" activePane="bottomRight" state="frozen"/>
      <selection pane="topRight" activeCell="E1" sqref="E1"/>
      <selection pane="bottomLeft" activeCell="A12" sqref="A12"/>
      <selection pane="bottomRight" activeCell="G25" sqref="G25"/>
    </sheetView>
  </sheetViews>
  <sheetFormatPr defaultRowHeight="18.75"/>
  <cols>
    <col min="1" max="1" width="6.85546875" style="16" customWidth="1"/>
    <col min="2" max="2" width="10" style="16" customWidth="1"/>
    <col min="3" max="3" width="11.140625" style="16" customWidth="1"/>
    <col min="4" max="4" width="48.140625" style="17" customWidth="1"/>
    <col min="5" max="5" width="17.5703125" style="14" customWidth="1"/>
    <col min="6" max="6" width="23.42578125" style="257" customWidth="1"/>
    <col min="7" max="7" width="20.7109375" style="18" customWidth="1"/>
    <col min="8" max="8" width="18" style="255" customWidth="1"/>
    <col min="9" max="10" width="9.140625" style="18"/>
    <col min="11" max="11" width="15.140625" style="18" bestFit="1" customWidth="1"/>
    <col min="12" max="18" width="9.140625" style="18"/>
    <col min="19" max="19" width="14.5703125" style="18" customWidth="1"/>
    <col min="20" max="234" width="9.140625" style="18"/>
    <col min="235" max="235" width="6.7109375" style="18" customWidth="1"/>
    <col min="236" max="236" width="10" style="18" customWidth="1"/>
    <col min="237" max="237" width="10.85546875" style="18" customWidth="1"/>
    <col min="238" max="238" width="56.140625" style="18" customWidth="1"/>
    <col min="239" max="239" width="13" style="18" customWidth="1"/>
    <col min="240" max="240" width="11" style="18" customWidth="1"/>
    <col min="241" max="241" width="11.85546875" style="18" customWidth="1"/>
    <col min="242" max="242" width="12.28515625" style="18" customWidth="1"/>
    <col min="243" max="243" width="11.85546875" style="18" customWidth="1"/>
    <col min="244" max="244" width="10.85546875" style="18" customWidth="1"/>
    <col min="245" max="245" width="11.85546875" style="18" customWidth="1"/>
    <col min="246" max="246" width="12.42578125" style="18" customWidth="1"/>
    <col min="247" max="247" width="12.28515625" style="18" customWidth="1"/>
    <col min="248" max="248" width="12.140625" style="18" customWidth="1"/>
    <col min="249" max="249" width="11.85546875" style="18" customWidth="1"/>
    <col min="250" max="250" width="12.140625" style="18" customWidth="1"/>
    <col min="251" max="251" width="11.140625" style="18" customWidth="1"/>
    <col min="252" max="253" width="11.28515625" style="18" customWidth="1"/>
    <col min="254" max="490" width="9.140625" style="18"/>
    <col min="491" max="491" width="6.7109375" style="18" customWidth="1"/>
    <col min="492" max="492" width="10" style="18" customWidth="1"/>
    <col min="493" max="493" width="10.85546875" style="18" customWidth="1"/>
    <col min="494" max="494" width="56.140625" style="18" customWidth="1"/>
    <col min="495" max="495" width="13" style="18" customWidth="1"/>
    <col min="496" max="496" width="11" style="18" customWidth="1"/>
    <col min="497" max="497" width="11.85546875" style="18" customWidth="1"/>
    <col min="498" max="498" width="12.28515625" style="18" customWidth="1"/>
    <col min="499" max="499" width="11.85546875" style="18" customWidth="1"/>
    <col min="500" max="500" width="10.85546875" style="18" customWidth="1"/>
    <col min="501" max="501" width="11.85546875" style="18" customWidth="1"/>
    <col min="502" max="502" width="12.42578125" style="18" customWidth="1"/>
    <col min="503" max="503" width="12.28515625" style="18" customWidth="1"/>
    <col min="504" max="504" width="12.140625" style="18" customWidth="1"/>
    <col min="505" max="505" width="11.85546875" style="18" customWidth="1"/>
    <col min="506" max="506" width="12.140625" style="18" customWidth="1"/>
    <col min="507" max="507" width="11.140625" style="18" customWidth="1"/>
    <col min="508" max="509" width="11.28515625" style="18" customWidth="1"/>
    <col min="510" max="746" width="9.140625" style="18"/>
    <col min="747" max="747" width="6.7109375" style="18" customWidth="1"/>
    <col min="748" max="748" width="10" style="18" customWidth="1"/>
    <col min="749" max="749" width="10.85546875" style="18" customWidth="1"/>
    <col min="750" max="750" width="56.140625" style="18" customWidth="1"/>
    <col min="751" max="751" width="13" style="18" customWidth="1"/>
    <col min="752" max="752" width="11" style="18" customWidth="1"/>
    <col min="753" max="753" width="11.85546875" style="18" customWidth="1"/>
    <col min="754" max="754" width="12.28515625" style="18" customWidth="1"/>
    <col min="755" max="755" width="11.85546875" style="18" customWidth="1"/>
    <col min="756" max="756" width="10.85546875" style="18" customWidth="1"/>
    <col min="757" max="757" width="11.85546875" style="18" customWidth="1"/>
    <col min="758" max="758" width="12.42578125" style="18" customWidth="1"/>
    <col min="759" max="759" width="12.28515625" style="18" customWidth="1"/>
    <col min="760" max="760" width="12.140625" style="18" customWidth="1"/>
    <col min="761" max="761" width="11.85546875" style="18" customWidth="1"/>
    <col min="762" max="762" width="12.140625" style="18" customWidth="1"/>
    <col min="763" max="763" width="11.140625" style="18" customWidth="1"/>
    <col min="764" max="765" width="11.28515625" style="18" customWidth="1"/>
    <col min="766" max="1002" width="9.140625" style="18"/>
    <col min="1003" max="1003" width="6.7109375" style="18" customWidth="1"/>
    <col min="1004" max="1004" width="10" style="18" customWidth="1"/>
    <col min="1005" max="1005" width="10.85546875" style="18" customWidth="1"/>
    <col min="1006" max="1006" width="56.140625" style="18" customWidth="1"/>
    <col min="1007" max="1007" width="13" style="18" customWidth="1"/>
    <col min="1008" max="1008" width="11" style="18" customWidth="1"/>
    <col min="1009" max="1009" width="11.85546875" style="18" customWidth="1"/>
    <col min="1010" max="1010" width="12.28515625" style="18" customWidth="1"/>
    <col min="1011" max="1011" width="11.85546875" style="18" customWidth="1"/>
    <col min="1012" max="1012" width="10.85546875" style="18" customWidth="1"/>
    <col min="1013" max="1013" width="11.85546875" style="18" customWidth="1"/>
    <col min="1014" max="1014" width="12.42578125" style="18" customWidth="1"/>
    <col min="1015" max="1015" width="12.28515625" style="18" customWidth="1"/>
    <col min="1016" max="1016" width="12.140625" style="18" customWidth="1"/>
    <col min="1017" max="1017" width="11.85546875" style="18" customWidth="1"/>
    <col min="1018" max="1018" width="12.140625" style="18" customWidth="1"/>
    <col min="1019" max="1019" width="11.140625" style="18" customWidth="1"/>
    <col min="1020" max="1021" width="11.28515625" style="18" customWidth="1"/>
    <col min="1022" max="1258" width="9.140625" style="18"/>
    <col min="1259" max="1259" width="6.7109375" style="18" customWidth="1"/>
    <col min="1260" max="1260" width="10" style="18" customWidth="1"/>
    <col min="1261" max="1261" width="10.85546875" style="18" customWidth="1"/>
    <col min="1262" max="1262" width="56.140625" style="18" customWidth="1"/>
    <col min="1263" max="1263" width="13" style="18" customWidth="1"/>
    <col min="1264" max="1264" width="11" style="18" customWidth="1"/>
    <col min="1265" max="1265" width="11.85546875" style="18" customWidth="1"/>
    <col min="1266" max="1266" width="12.28515625" style="18" customWidth="1"/>
    <col min="1267" max="1267" width="11.85546875" style="18" customWidth="1"/>
    <col min="1268" max="1268" width="10.85546875" style="18" customWidth="1"/>
    <col min="1269" max="1269" width="11.85546875" style="18" customWidth="1"/>
    <col min="1270" max="1270" width="12.42578125" style="18" customWidth="1"/>
    <col min="1271" max="1271" width="12.28515625" style="18" customWidth="1"/>
    <col min="1272" max="1272" width="12.140625" style="18" customWidth="1"/>
    <col min="1273" max="1273" width="11.85546875" style="18" customWidth="1"/>
    <col min="1274" max="1274" width="12.140625" style="18" customWidth="1"/>
    <col min="1275" max="1275" width="11.140625" style="18" customWidth="1"/>
    <col min="1276" max="1277" width="11.28515625" style="18" customWidth="1"/>
    <col min="1278" max="1514" width="9.140625" style="18"/>
    <col min="1515" max="1515" width="6.7109375" style="18" customWidth="1"/>
    <col min="1516" max="1516" width="10" style="18" customWidth="1"/>
    <col min="1517" max="1517" width="10.85546875" style="18" customWidth="1"/>
    <col min="1518" max="1518" width="56.140625" style="18" customWidth="1"/>
    <col min="1519" max="1519" width="13" style="18" customWidth="1"/>
    <col min="1520" max="1520" width="11" style="18" customWidth="1"/>
    <col min="1521" max="1521" width="11.85546875" style="18" customWidth="1"/>
    <col min="1522" max="1522" width="12.28515625" style="18" customWidth="1"/>
    <col min="1523" max="1523" width="11.85546875" style="18" customWidth="1"/>
    <col min="1524" max="1524" width="10.85546875" style="18" customWidth="1"/>
    <col min="1525" max="1525" width="11.85546875" style="18" customWidth="1"/>
    <col min="1526" max="1526" width="12.42578125" style="18" customWidth="1"/>
    <col min="1527" max="1527" width="12.28515625" style="18" customWidth="1"/>
    <col min="1528" max="1528" width="12.140625" style="18" customWidth="1"/>
    <col min="1529" max="1529" width="11.85546875" style="18" customWidth="1"/>
    <col min="1530" max="1530" width="12.140625" style="18" customWidth="1"/>
    <col min="1531" max="1531" width="11.140625" style="18" customWidth="1"/>
    <col min="1532" max="1533" width="11.28515625" style="18" customWidth="1"/>
    <col min="1534" max="1770" width="9.140625" style="18"/>
    <col min="1771" max="1771" width="6.7109375" style="18" customWidth="1"/>
    <col min="1772" max="1772" width="10" style="18" customWidth="1"/>
    <col min="1773" max="1773" width="10.85546875" style="18" customWidth="1"/>
    <col min="1774" max="1774" width="56.140625" style="18" customWidth="1"/>
    <col min="1775" max="1775" width="13" style="18" customWidth="1"/>
    <col min="1776" max="1776" width="11" style="18" customWidth="1"/>
    <col min="1777" max="1777" width="11.85546875" style="18" customWidth="1"/>
    <col min="1778" max="1778" width="12.28515625" style="18" customWidth="1"/>
    <col min="1779" max="1779" width="11.85546875" style="18" customWidth="1"/>
    <col min="1780" max="1780" width="10.85546875" style="18" customWidth="1"/>
    <col min="1781" max="1781" width="11.85546875" style="18" customWidth="1"/>
    <col min="1782" max="1782" width="12.42578125" style="18" customWidth="1"/>
    <col min="1783" max="1783" width="12.28515625" style="18" customWidth="1"/>
    <col min="1784" max="1784" width="12.140625" style="18" customWidth="1"/>
    <col min="1785" max="1785" width="11.85546875" style="18" customWidth="1"/>
    <col min="1786" max="1786" width="12.140625" style="18" customWidth="1"/>
    <col min="1787" max="1787" width="11.140625" style="18" customWidth="1"/>
    <col min="1788" max="1789" width="11.28515625" style="18" customWidth="1"/>
    <col min="1790" max="2026" width="9.140625" style="18"/>
    <col min="2027" max="2027" width="6.7109375" style="18" customWidth="1"/>
    <col min="2028" max="2028" width="10" style="18" customWidth="1"/>
    <col min="2029" max="2029" width="10.85546875" style="18" customWidth="1"/>
    <col min="2030" max="2030" width="56.140625" style="18" customWidth="1"/>
    <col min="2031" max="2031" width="13" style="18" customWidth="1"/>
    <col min="2032" max="2032" width="11" style="18" customWidth="1"/>
    <col min="2033" max="2033" width="11.85546875" style="18" customWidth="1"/>
    <col min="2034" max="2034" width="12.28515625" style="18" customWidth="1"/>
    <col min="2035" max="2035" width="11.85546875" style="18" customWidth="1"/>
    <col min="2036" max="2036" width="10.85546875" style="18" customWidth="1"/>
    <col min="2037" max="2037" width="11.85546875" style="18" customWidth="1"/>
    <col min="2038" max="2038" width="12.42578125" style="18" customWidth="1"/>
    <col min="2039" max="2039" width="12.28515625" style="18" customWidth="1"/>
    <col min="2040" max="2040" width="12.140625" style="18" customWidth="1"/>
    <col min="2041" max="2041" width="11.85546875" style="18" customWidth="1"/>
    <col min="2042" max="2042" width="12.140625" style="18" customWidth="1"/>
    <col min="2043" max="2043" width="11.140625" style="18" customWidth="1"/>
    <col min="2044" max="2045" width="11.28515625" style="18" customWidth="1"/>
    <col min="2046" max="2282" width="9.140625" style="18"/>
    <col min="2283" max="2283" width="6.7109375" style="18" customWidth="1"/>
    <col min="2284" max="2284" width="10" style="18" customWidth="1"/>
    <col min="2285" max="2285" width="10.85546875" style="18" customWidth="1"/>
    <col min="2286" max="2286" width="56.140625" style="18" customWidth="1"/>
    <col min="2287" max="2287" width="13" style="18" customWidth="1"/>
    <col min="2288" max="2288" width="11" style="18" customWidth="1"/>
    <col min="2289" max="2289" width="11.85546875" style="18" customWidth="1"/>
    <col min="2290" max="2290" width="12.28515625" style="18" customWidth="1"/>
    <col min="2291" max="2291" width="11.85546875" style="18" customWidth="1"/>
    <col min="2292" max="2292" width="10.85546875" style="18" customWidth="1"/>
    <col min="2293" max="2293" width="11.85546875" style="18" customWidth="1"/>
    <col min="2294" max="2294" width="12.42578125" style="18" customWidth="1"/>
    <col min="2295" max="2295" width="12.28515625" style="18" customWidth="1"/>
    <col min="2296" max="2296" width="12.140625" style="18" customWidth="1"/>
    <col min="2297" max="2297" width="11.85546875" style="18" customWidth="1"/>
    <col min="2298" max="2298" width="12.140625" style="18" customWidth="1"/>
    <col min="2299" max="2299" width="11.140625" style="18" customWidth="1"/>
    <col min="2300" max="2301" width="11.28515625" style="18" customWidth="1"/>
    <col min="2302" max="2538" width="9.140625" style="18"/>
    <col min="2539" max="2539" width="6.7109375" style="18" customWidth="1"/>
    <col min="2540" max="2540" width="10" style="18" customWidth="1"/>
    <col min="2541" max="2541" width="10.85546875" style="18" customWidth="1"/>
    <col min="2542" max="2542" width="56.140625" style="18" customWidth="1"/>
    <col min="2543" max="2543" width="13" style="18" customWidth="1"/>
    <col min="2544" max="2544" width="11" style="18" customWidth="1"/>
    <col min="2545" max="2545" width="11.85546875" style="18" customWidth="1"/>
    <col min="2546" max="2546" width="12.28515625" style="18" customWidth="1"/>
    <col min="2547" max="2547" width="11.85546875" style="18" customWidth="1"/>
    <col min="2548" max="2548" width="10.85546875" style="18" customWidth="1"/>
    <col min="2549" max="2549" width="11.85546875" style="18" customWidth="1"/>
    <col min="2550" max="2550" width="12.42578125" style="18" customWidth="1"/>
    <col min="2551" max="2551" width="12.28515625" style="18" customWidth="1"/>
    <col min="2552" max="2552" width="12.140625" style="18" customWidth="1"/>
    <col min="2553" max="2553" width="11.85546875" style="18" customWidth="1"/>
    <col min="2554" max="2554" width="12.140625" style="18" customWidth="1"/>
    <col min="2555" max="2555" width="11.140625" style="18" customWidth="1"/>
    <col min="2556" max="2557" width="11.28515625" style="18" customWidth="1"/>
    <col min="2558" max="2794" width="9.140625" style="18"/>
    <col min="2795" max="2795" width="6.7109375" style="18" customWidth="1"/>
    <col min="2796" max="2796" width="10" style="18" customWidth="1"/>
    <col min="2797" max="2797" width="10.85546875" style="18" customWidth="1"/>
    <col min="2798" max="2798" width="56.140625" style="18" customWidth="1"/>
    <col min="2799" max="2799" width="13" style="18" customWidth="1"/>
    <col min="2800" max="2800" width="11" style="18" customWidth="1"/>
    <col min="2801" max="2801" width="11.85546875" style="18" customWidth="1"/>
    <col min="2802" max="2802" width="12.28515625" style="18" customWidth="1"/>
    <col min="2803" max="2803" width="11.85546875" style="18" customWidth="1"/>
    <col min="2804" max="2804" width="10.85546875" style="18" customWidth="1"/>
    <col min="2805" max="2805" width="11.85546875" style="18" customWidth="1"/>
    <col min="2806" max="2806" width="12.42578125" style="18" customWidth="1"/>
    <col min="2807" max="2807" width="12.28515625" style="18" customWidth="1"/>
    <col min="2808" max="2808" width="12.140625" style="18" customWidth="1"/>
    <col min="2809" max="2809" width="11.85546875" style="18" customWidth="1"/>
    <col min="2810" max="2810" width="12.140625" style="18" customWidth="1"/>
    <col min="2811" max="2811" width="11.140625" style="18" customWidth="1"/>
    <col min="2812" max="2813" width="11.28515625" style="18" customWidth="1"/>
    <col min="2814" max="3050" width="9.140625" style="18"/>
    <col min="3051" max="3051" width="6.7109375" style="18" customWidth="1"/>
    <col min="3052" max="3052" width="10" style="18" customWidth="1"/>
    <col min="3053" max="3053" width="10.85546875" style="18" customWidth="1"/>
    <col min="3054" max="3054" width="56.140625" style="18" customWidth="1"/>
    <col min="3055" max="3055" width="13" style="18" customWidth="1"/>
    <col min="3056" max="3056" width="11" style="18" customWidth="1"/>
    <col min="3057" max="3057" width="11.85546875" style="18" customWidth="1"/>
    <col min="3058" max="3058" width="12.28515625" style="18" customWidth="1"/>
    <col min="3059" max="3059" width="11.85546875" style="18" customWidth="1"/>
    <col min="3060" max="3060" width="10.85546875" style="18" customWidth="1"/>
    <col min="3061" max="3061" width="11.85546875" style="18" customWidth="1"/>
    <col min="3062" max="3062" width="12.42578125" style="18" customWidth="1"/>
    <col min="3063" max="3063" width="12.28515625" style="18" customWidth="1"/>
    <col min="3064" max="3064" width="12.140625" style="18" customWidth="1"/>
    <col min="3065" max="3065" width="11.85546875" style="18" customWidth="1"/>
    <col min="3066" max="3066" width="12.140625" style="18" customWidth="1"/>
    <col min="3067" max="3067" width="11.140625" style="18" customWidth="1"/>
    <col min="3068" max="3069" width="11.28515625" style="18" customWidth="1"/>
    <col min="3070" max="3306" width="9.140625" style="18"/>
    <col min="3307" max="3307" width="6.7109375" style="18" customWidth="1"/>
    <col min="3308" max="3308" width="10" style="18" customWidth="1"/>
    <col min="3309" max="3309" width="10.85546875" style="18" customWidth="1"/>
    <col min="3310" max="3310" width="56.140625" style="18" customWidth="1"/>
    <col min="3311" max="3311" width="13" style="18" customWidth="1"/>
    <col min="3312" max="3312" width="11" style="18" customWidth="1"/>
    <col min="3313" max="3313" width="11.85546875" style="18" customWidth="1"/>
    <col min="3314" max="3314" width="12.28515625" style="18" customWidth="1"/>
    <col min="3315" max="3315" width="11.85546875" style="18" customWidth="1"/>
    <col min="3316" max="3316" width="10.85546875" style="18" customWidth="1"/>
    <col min="3317" max="3317" width="11.85546875" style="18" customWidth="1"/>
    <col min="3318" max="3318" width="12.42578125" style="18" customWidth="1"/>
    <col min="3319" max="3319" width="12.28515625" style="18" customWidth="1"/>
    <col min="3320" max="3320" width="12.140625" style="18" customWidth="1"/>
    <col min="3321" max="3321" width="11.85546875" style="18" customWidth="1"/>
    <col min="3322" max="3322" width="12.140625" style="18" customWidth="1"/>
    <col min="3323" max="3323" width="11.140625" style="18" customWidth="1"/>
    <col min="3324" max="3325" width="11.28515625" style="18" customWidth="1"/>
    <col min="3326" max="3562" width="9.140625" style="18"/>
    <col min="3563" max="3563" width="6.7109375" style="18" customWidth="1"/>
    <col min="3564" max="3564" width="10" style="18" customWidth="1"/>
    <col min="3565" max="3565" width="10.85546875" style="18" customWidth="1"/>
    <col min="3566" max="3566" width="56.140625" style="18" customWidth="1"/>
    <col min="3567" max="3567" width="13" style="18" customWidth="1"/>
    <col min="3568" max="3568" width="11" style="18" customWidth="1"/>
    <col min="3569" max="3569" width="11.85546875" style="18" customWidth="1"/>
    <col min="3570" max="3570" width="12.28515625" style="18" customWidth="1"/>
    <col min="3571" max="3571" width="11.85546875" style="18" customWidth="1"/>
    <col min="3572" max="3572" width="10.85546875" style="18" customWidth="1"/>
    <col min="3573" max="3573" width="11.85546875" style="18" customWidth="1"/>
    <col min="3574" max="3574" width="12.42578125" style="18" customWidth="1"/>
    <col min="3575" max="3575" width="12.28515625" style="18" customWidth="1"/>
    <col min="3576" max="3576" width="12.140625" style="18" customWidth="1"/>
    <col min="3577" max="3577" width="11.85546875" style="18" customWidth="1"/>
    <col min="3578" max="3578" width="12.140625" style="18" customWidth="1"/>
    <col min="3579" max="3579" width="11.140625" style="18" customWidth="1"/>
    <col min="3580" max="3581" width="11.28515625" style="18" customWidth="1"/>
    <col min="3582" max="3818" width="9.140625" style="18"/>
    <col min="3819" max="3819" width="6.7109375" style="18" customWidth="1"/>
    <col min="3820" max="3820" width="10" style="18" customWidth="1"/>
    <col min="3821" max="3821" width="10.85546875" style="18" customWidth="1"/>
    <col min="3822" max="3822" width="56.140625" style="18" customWidth="1"/>
    <col min="3823" max="3823" width="13" style="18" customWidth="1"/>
    <col min="3824" max="3824" width="11" style="18" customWidth="1"/>
    <col min="3825" max="3825" width="11.85546875" style="18" customWidth="1"/>
    <col min="3826" max="3826" width="12.28515625" style="18" customWidth="1"/>
    <col min="3827" max="3827" width="11.85546875" style="18" customWidth="1"/>
    <col min="3828" max="3828" width="10.85546875" style="18" customWidth="1"/>
    <col min="3829" max="3829" width="11.85546875" style="18" customWidth="1"/>
    <col min="3830" max="3830" width="12.42578125" style="18" customWidth="1"/>
    <col min="3831" max="3831" width="12.28515625" style="18" customWidth="1"/>
    <col min="3832" max="3832" width="12.140625" style="18" customWidth="1"/>
    <col min="3833" max="3833" width="11.85546875" style="18" customWidth="1"/>
    <col min="3834" max="3834" width="12.140625" style="18" customWidth="1"/>
    <col min="3835" max="3835" width="11.140625" style="18" customWidth="1"/>
    <col min="3836" max="3837" width="11.28515625" style="18" customWidth="1"/>
    <col min="3838" max="4074" width="9.140625" style="18"/>
    <col min="4075" max="4075" width="6.7109375" style="18" customWidth="1"/>
    <col min="4076" max="4076" width="10" style="18" customWidth="1"/>
    <col min="4077" max="4077" width="10.85546875" style="18" customWidth="1"/>
    <col min="4078" max="4078" width="56.140625" style="18" customWidth="1"/>
    <col min="4079" max="4079" width="13" style="18" customWidth="1"/>
    <col min="4080" max="4080" width="11" style="18" customWidth="1"/>
    <col min="4081" max="4081" width="11.85546875" style="18" customWidth="1"/>
    <col min="4082" max="4082" width="12.28515625" style="18" customWidth="1"/>
    <col min="4083" max="4083" width="11.85546875" style="18" customWidth="1"/>
    <col min="4084" max="4084" width="10.85546875" style="18" customWidth="1"/>
    <col min="4085" max="4085" width="11.85546875" style="18" customWidth="1"/>
    <col min="4086" max="4086" width="12.42578125" style="18" customWidth="1"/>
    <col min="4087" max="4087" width="12.28515625" style="18" customWidth="1"/>
    <col min="4088" max="4088" width="12.140625" style="18" customWidth="1"/>
    <col min="4089" max="4089" width="11.85546875" style="18" customWidth="1"/>
    <col min="4090" max="4090" width="12.140625" style="18" customWidth="1"/>
    <col min="4091" max="4091" width="11.140625" style="18" customWidth="1"/>
    <col min="4092" max="4093" width="11.28515625" style="18" customWidth="1"/>
    <col min="4094" max="4330" width="9.140625" style="18"/>
    <col min="4331" max="4331" width="6.7109375" style="18" customWidth="1"/>
    <col min="4332" max="4332" width="10" style="18" customWidth="1"/>
    <col min="4333" max="4333" width="10.85546875" style="18" customWidth="1"/>
    <col min="4334" max="4334" width="56.140625" style="18" customWidth="1"/>
    <col min="4335" max="4335" width="13" style="18" customWidth="1"/>
    <col min="4336" max="4336" width="11" style="18" customWidth="1"/>
    <col min="4337" max="4337" width="11.85546875" style="18" customWidth="1"/>
    <col min="4338" max="4338" width="12.28515625" style="18" customWidth="1"/>
    <col min="4339" max="4339" width="11.85546875" style="18" customWidth="1"/>
    <col min="4340" max="4340" width="10.85546875" style="18" customWidth="1"/>
    <col min="4341" max="4341" width="11.85546875" style="18" customWidth="1"/>
    <col min="4342" max="4342" width="12.42578125" style="18" customWidth="1"/>
    <col min="4343" max="4343" width="12.28515625" style="18" customWidth="1"/>
    <col min="4344" max="4344" width="12.140625" style="18" customWidth="1"/>
    <col min="4345" max="4345" width="11.85546875" style="18" customWidth="1"/>
    <col min="4346" max="4346" width="12.140625" style="18" customWidth="1"/>
    <col min="4347" max="4347" width="11.140625" style="18" customWidth="1"/>
    <col min="4348" max="4349" width="11.28515625" style="18" customWidth="1"/>
    <col min="4350" max="4586" width="9.140625" style="18"/>
    <col min="4587" max="4587" width="6.7109375" style="18" customWidth="1"/>
    <col min="4588" max="4588" width="10" style="18" customWidth="1"/>
    <col min="4589" max="4589" width="10.85546875" style="18" customWidth="1"/>
    <col min="4590" max="4590" width="56.140625" style="18" customWidth="1"/>
    <col min="4591" max="4591" width="13" style="18" customWidth="1"/>
    <col min="4592" max="4592" width="11" style="18" customWidth="1"/>
    <col min="4593" max="4593" width="11.85546875" style="18" customWidth="1"/>
    <col min="4594" max="4594" width="12.28515625" style="18" customWidth="1"/>
    <col min="4595" max="4595" width="11.85546875" style="18" customWidth="1"/>
    <col min="4596" max="4596" width="10.85546875" style="18" customWidth="1"/>
    <col min="4597" max="4597" width="11.85546875" style="18" customWidth="1"/>
    <col min="4598" max="4598" width="12.42578125" style="18" customWidth="1"/>
    <col min="4599" max="4599" width="12.28515625" style="18" customWidth="1"/>
    <col min="4600" max="4600" width="12.140625" style="18" customWidth="1"/>
    <col min="4601" max="4601" width="11.85546875" style="18" customWidth="1"/>
    <col min="4602" max="4602" width="12.140625" style="18" customWidth="1"/>
    <col min="4603" max="4603" width="11.140625" style="18" customWidth="1"/>
    <col min="4604" max="4605" width="11.28515625" style="18" customWidth="1"/>
    <col min="4606" max="4842" width="9.140625" style="18"/>
    <col min="4843" max="4843" width="6.7109375" style="18" customWidth="1"/>
    <col min="4844" max="4844" width="10" style="18" customWidth="1"/>
    <col min="4845" max="4845" width="10.85546875" style="18" customWidth="1"/>
    <col min="4846" max="4846" width="56.140625" style="18" customWidth="1"/>
    <col min="4847" max="4847" width="13" style="18" customWidth="1"/>
    <col min="4848" max="4848" width="11" style="18" customWidth="1"/>
    <col min="4849" max="4849" width="11.85546875" style="18" customWidth="1"/>
    <col min="4850" max="4850" width="12.28515625" style="18" customWidth="1"/>
    <col min="4851" max="4851" width="11.85546875" style="18" customWidth="1"/>
    <col min="4852" max="4852" width="10.85546875" style="18" customWidth="1"/>
    <col min="4853" max="4853" width="11.85546875" style="18" customWidth="1"/>
    <col min="4854" max="4854" width="12.42578125" style="18" customWidth="1"/>
    <col min="4855" max="4855" width="12.28515625" style="18" customWidth="1"/>
    <col min="4856" max="4856" width="12.140625" style="18" customWidth="1"/>
    <col min="4857" max="4857" width="11.85546875" style="18" customWidth="1"/>
    <col min="4858" max="4858" width="12.140625" style="18" customWidth="1"/>
    <col min="4859" max="4859" width="11.140625" style="18" customWidth="1"/>
    <col min="4860" max="4861" width="11.28515625" style="18" customWidth="1"/>
    <col min="4862" max="5098" width="9.140625" style="18"/>
    <col min="5099" max="5099" width="6.7109375" style="18" customWidth="1"/>
    <col min="5100" max="5100" width="10" style="18" customWidth="1"/>
    <col min="5101" max="5101" width="10.85546875" style="18" customWidth="1"/>
    <col min="5102" max="5102" width="56.140625" style="18" customWidth="1"/>
    <col min="5103" max="5103" width="13" style="18" customWidth="1"/>
    <col min="5104" max="5104" width="11" style="18" customWidth="1"/>
    <col min="5105" max="5105" width="11.85546875" style="18" customWidth="1"/>
    <col min="5106" max="5106" width="12.28515625" style="18" customWidth="1"/>
    <col min="5107" max="5107" width="11.85546875" style="18" customWidth="1"/>
    <col min="5108" max="5108" width="10.85546875" style="18" customWidth="1"/>
    <col min="5109" max="5109" width="11.85546875" style="18" customWidth="1"/>
    <col min="5110" max="5110" width="12.42578125" style="18" customWidth="1"/>
    <col min="5111" max="5111" width="12.28515625" style="18" customWidth="1"/>
    <col min="5112" max="5112" width="12.140625" style="18" customWidth="1"/>
    <col min="5113" max="5113" width="11.85546875" style="18" customWidth="1"/>
    <col min="5114" max="5114" width="12.140625" style="18" customWidth="1"/>
    <col min="5115" max="5115" width="11.140625" style="18" customWidth="1"/>
    <col min="5116" max="5117" width="11.28515625" style="18" customWidth="1"/>
    <col min="5118" max="5354" width="9.140625" style="18"/>
    <col min="5355" max="5355" width="6.7109375" style="18" customWidth="1"/>
    <col min="5356" max="5356" width="10" style="18" customWidth="1"/>
    <col min="5357" max="5357" width="10.85546875" style="18" customWidth="1"/>
    <col min="5358" max="5358" width="56.140625" style="18" customWidth="1"/>
    <col min="5359" max="5359" width="13" style="18" customWidth="1"/>
    <col min="5360" max="5360" width="11" style="18" customWidth="1"/>
    <col min="5361" max="5361" width="11.85546875" style="18" customWidth="1"/>
    <col min="5362" max="5362" width="12.28515625" style="18" customWidth="1"/>
    <col min="5363" max="5363" width="11.85546875" style="18" customWidth="1"/>
    <col min="5364" max="5364" width="10.85546875" style="18" customWidth="1"/>
    <col min="5365" max="5365" width="11.85546875" style="18" customWidth="1"/>
    <col min="5366" max="5366" width="12.42578125" style="18" customWidth="1"/>
    <col min="5367" max="5367" width="12.28515625" style="18" customWidth="1"/>
    <col min="5368" max="5368" width="12.140625" style="18" customWidth="1"/>
    <col min="5369" max="5369" width="11.85546875" style="18" customWidth="1"/>
    <col min="5370" max="5370" width="12.140625" style="18" customWidth="1"/>
    <col min="5371" max="5371" width="11.140625" style="18" customWidth="1"/>
    <col min="5372" max="5373" width="11.28515625" style="18" customWidth="1"/>
    <col min="5374" max="5610" width="9.140625" style="18"/>
    <col min="5611" max="5611" width="6.7109375" style="18" customWidth="1"/>
    <col min="5612" max="5612" width="10" style="18" customWidth="1"/>
    <col min="5613" max="5613" width="10.85546875" style="18" customWidth="1"/>
    <col min="5614" max="5614" width="56.140625" style="18" customWidth="1"/>
    <col min="5615" max="5615" width="13" style="18" customWidth="1"/>
    <col min="5616" max="5616" width="11" style="18" customWidth="1"/>
    <col min="5617" max="5617" width="11.85546875" style="18" customWidth="1"/>
    <col min="5618" max="5618" width="12.28515625" style="18" customWidth="1"/>
    <col min="5619" max="5619" width="11.85546875" style="18" customWidth="1"/>
    <col min="5620" max="5620" width="10.85546875" style="18" customWidth="1"/>
    <col min="5621" max="5621" width="11.85546875" style="18" customWidth="1"/>
    <col min="5622" max="5622" width="12.42578125" style="18" customWidth="1"/>
    <col min="5623" max="5623" width="12.28515625" style="18" customWidth="1"/>
    <col min="5624" max="5624" width="12.140625" style="18" customWidth="1"/>
    <col min="5625" max="5625" width="11.85546875" style="18" customWidth="1"/>
    <col min="5626" max="5626" width="12.140625" style="18" customWidth="1"/>
    <col min="5627" max="5627" width="11.140625" style="18" customWidth="1"/>
    <col min="5628" max="5629" width="11.28515625" style="18" customWidth="1"/>
    <col min="5630" max="5866" width="9.140625" style="18"/>
    <col min="5867" max="5867" width="6.7109375" style="18" customWidth="1"/>
    <col min="5868" max="5868" width="10" style="18" customWidth="1"/>
    <col min="5869" max="5869" width="10.85546875" style="18" customWidth="1"/>
    <col min="5870" max="5870" width="56.140625" style="18" customWidth="1"/>
    <col min="5871" max="5871" width="13" style="18" customWidth="1"/>
    <col min="5872" max="5872" width="11" style="18" customWidth="1"/>
    <col min="5873" max="5873" width="11.85546875" style="18" customWidth="1"/>
    <col min="5874" max="5874" width="12.28515625" style="18" customWidth="1"/>
    <col min="5875" max="5875" width="11.85546875" style="18" customWidth="1"/>
    <col min="5876" max="5876" width="10.85546875" style="18" customWidth="1"/>
    <col min="5877" max="5877" width="11.85546875" style="18" customWidth="1"/>
    <col min="5878" max="5878" width="12.42578125" style="18" customWidth="1"/>
    <col min="5879" max="5879" width="12.28515625" style="18" customWidth="1"/>
    <col min="5880" max="5880" width="12.140625" style="18" customWidth="1"/>
    <col min="5881" max="5881" width="11.85546875" style="18" customWidth="1"/>
    <col min="5882" max="5882" width="12.140625" style="18" customWidth="1"/>
    <col min="5883" max="5883" width="11.140625" style="18" customWidth="1"/>
    <col min="5884" max="5885" width="11.28515625" style="18" customWidth="1"/>
    <col min="5886" max="6122" width="9.140625" style="18"/>
    <col min="6123" max="6123" width="6.7109375" style="18" customWidth="1"/>
    <col min="6124" max="6124" width="10" style="18" customWidth="1"/>
    <col min="6125" max="6125" width="10.85546875" style="18" customWidth="1"/>
    <col min="6126" max="6126" width="56.140625" style="18" customWidth="1"/>
    <col min="6127" max="6127" width="13" style="18" customWidth="1"/>
    <col min="6128" max="6128" width="11" style="18" customWidth="1"/>
    <col min="6129" max="6129" width="11.85546875" style="18" customWidth="1"/>
    <col min="6130" max="6130" width="12.28515625" style="18" customWidth="1"/>
    <col min="6131" max="6131" width="11.85546875" style="18" customWidth="1"/>
    <col min="6132" max="6132" width="10.85546875" style="18" customWidth="1"/>
    <col min="6133" max="6133" width="11.85546875" style="18" customWidth="1"/>
    <col min="6134" max="6134" width="12.42578125" style="18" customWidth="1"/>
    <col min="6135" max="6135" width="12.28515625" style="18" customWidth="1"/>
    <col min="6136" max="6136" width="12.140625" style="18" customWidth="1"/>
    <col min="6137" max="6137" width="11.85546875" style="18" customWidth="1"/>
    <col min="6138" max="6138" width="12.140625" style="18" customWidth="1"/>
    <col min="6139" max="6139" width="11.140625" style="18" customWidth="1"/>
    <col min="6140" max="6141" width="11.28515625" style="18" customWidth="1"/>
    <col min="6142" max="6378" width="9.140625" style="18"/>
    <col min="6379" max="6379" width="6.7109375" style="18" customWidth="1"/>
    <col min="6380" max="6380" width="10" style="18" customWidth="1"/>
    <col min="6381" max="6381" width="10.85546875" style="18" customWidth="1"/>
    <col min="6382" max="6382" width="56.140625" style="18" customWidth="1"/>
    <col min="6383" max="6383" width="13" style="18" customWidth="1"/>
    <col min="6384" max="6384" width="11" style="18" customWidth="1"/>
    <col min="6385" max="6385" width="11.85546875" style="18" customWidth="1"/>
    <col min="6386" max="6386" width="12.28515625" style="18" customWidth="1"/>
    <col min="6387" max="6387" width="11.85546875" style="18" customWidth="1"/>
    <col min="6388" max="6388" width="10.85546875" style="18" customWidth="1"/>
    <col min="6389" max="6389" width="11.85546875" style="18" customWidth="1"/>
    <col min="6390" max="6390" width="12.42578125" style="18" customWidth="1"/>
    <col min="6391" max="6391" width="12.28515625" style="18" customWidth="1"/>
    <col min="6392" max="6392" width="12.140625" style="18" customWidth="1"/>
    <col min="6393" max="6393" width="11.85546875" style="18" customWidth="1"/>
    <col min="6394" max="6394" width="12.140625" style="18" customWidth="1"/>
    <col min="6395" max="6395" width="11.140625" style="18" customWidth="1"/>
    <col min="6396" max="6397" width="11.28515625" style="18" customWidth="1"/>
    <col min="6398" max="6634" width="9.140625" style="18"/>
    <col min="6635" max="6635" width="6.7109375" style="18" customWidth="1"/>
    <col min="6636" max="6636" width="10" style="18" customWidth="1"/>
    <col min="6637" max="6637" width="10.85546875" style="18" customWidth="1"/>
    <col min="6638" max="6638" width="56.140625" style="18" customWidth="1"/>
    <col min="6639" max="6639" width="13" style="18" customWidth="1"/>
    <col min="6640" max="6640" width="11" style="18" customWidth="1"/>
    <col min="6641" max="6641" width="11.85546875" style="18" customWidth="1"/>
    <col min="6642" max="6642" width="12.28515625" style="18" customWidth="1"/>
    <col min="6643" max="6643" width="11.85546875" style="18" customWidth="1"/>
    <col min="6644" max="6644" width="10.85546875" style="18" customWidth="1"/>
    <col min="6645" max="6645" width="11.85546875" style="18" customWidth="1"/>
    <col min="6646" max="6646" width="12.42578125" style="18" customWidth="1"/>
    <col min="6647" max="6647" width="12.28515625" style="18" customWidth="1"/>
    <col min="6648" max="6648" width="12.140625" style="18" customWidth="1"/>
    <col min="6649" max="6649" width="11.85546875" style="18" customWidth="1"/>
    <col min="6650" max="6650" width="12.140625" style="18" customWidth="1"/>
    <col min="6651" max="6651" width="11.140625" style="18" customWidth="1"/>
    <col min="6652" max="6653" width="11.28515625" style="18" customWidth="1"/>
    <col min="6654" max="6890" width="9.140625" style="18"/>
    <col min="6891" max="6891" width="6.7109375" style="18" customWidth="1"/>
    <col min="6892" max="6892" width="10" style="18" customWidth="1"/>
    <col min="6893" max="6893" width="10.85546875" style="18" customWidth="1"/>
    <col min="6894" max="6894" width="56.140625" style="18" customWidth="1"/>
    <col min="6895" max="6895" width="13" style="18" customWidth="1"/>
    <col min="6896" max="6896" width="11" style="18" customWidth="1"/>
    <col min="6897" max="6897" width="11.85546875" style="18" customWidth="1"/>
    <col min="6898" max="6898" width="12.28515625" style="18" customWidth="1"/>
    <col min="6899" max="6899" width="11.85546875" style="18" customWidth="1"/>
    <col min="6900" max="6900" width="10.85546875" style="18" customWidth="1"/>
    <col min="6901" max="6901" width="11.85546875" style="18" customWidth="1"/>
    <col min="6902" max="6902" width="12.42578125" style="18" customWidth="1"/>
    <col min="6903" max="6903" width="12.28515625" style="18" customWidth="1"/>
    <col min="6904" max="6904" width="12.140625" style="18" customWidth="1"/>
    <col min="6905" max="6905" width="11.85546875" style="18" customWidth="1"/>
    <col min="6906" max="6906" width="12.140625" style="18" customWidth="1"/>
    <col min="6907" max="6907" width="11.140625" style="18" customWidth="1"/>
    <col min="6908" max="6909" width="11.28515625" style="18" customWidth="1"/>
    <col min="6910" max="7146" width="9.140625" style="18"/>
    <col min="7147" max="7147" width="6.7109375" style="18" customWidth="1"/>
    <col min="7148" max="7148" width="10" style="18" customWidth="1"/>
    <col min="7149" max="7149" width="10.85546875" style="18" customWidth="1"/>
    <col min="7150" max="7150" width="56.140625" style="18" customWidth="1"/>
    <col min="7151" max="7151" width="13" style="18" customWidth="1"/>
    <col min="7152" max="7152" width="11" style="18" customWidth="1"/>
    <col min="7153" max="7153" width="11.85546875" style="18" customWidth="1"/>
    <col min="7154" max="7154" width="12.28515625" style="18" customWidth="1"/>
    <col min="7155" max="7155" width="11.85546875" style="18" customWidth="1"/>
    <col min="7156" max="7156" width="10.85546875" style="18" customWidth="1"/>
    <col min="7157" max="7157" width="11.85546875" style="18" customWidth="1"/>
    <col min="7158" max="7158" width="12.42578125" style="18" customWidth="1"/>
    <col min="7159" max="7159" width="12.28515625" style="18" customWidth="1"/>
    <col min="7160" max="7160" width="12.140625" style="18" customWidth="1"/>
    <col min="7161" max="7161" width="11.85546875" style="18" customWidth="1"/>
    <col min="7162" max="7162" width="12.140625" style="18" customWidth="1"/>
    <col min="7163" max="7163" width="11.140625" style="18" customWidth="1"/>
    <col min="7164" max="7165" width="11.28515625" style="18" customWidth="1"/>
    <col min="7166" max="7402" width="9.140625" style="18"/>
    <col min="7403" max="7403" width="6.7109375" style="18" customWidth="1"/>
    <col min="7404" max="7404" width="10" style="18" customWidth="1"/>
    <col min="7405" max="7405" width="10.85546875" style="18" customWidth="1"/>
    <col min="7406" max="7406" width="56.140625" style="18" customWidth="1"/>
    <col min="7407" max="7407" width="13" style="18" customWidth="1"/>
    <col min="7408" max="7408" width="11" style="18" customWidth="1"/>
    <col min="7409" max="7409" width="11.85546875" style="18" customWidth="1"/>
    <col min="7410" max="7410" width="12.28515625" style="18" customWidth="1"/>
    <col min="7411" max="7411" width="11.85546875" style="18" customWidth="1"/>
    <col min="7412" max="7412" width="10.85546875" style="18" customWidth="1"/>
    <col min="7413" max="7413" width="11.85546875" style="18" customWidth="1"/>
    <col min="7414" max="7414" width="12.42578125" style="18" customWidth="1"/>
    <col min="7415" max="7415" width="12.28515625" style="18" customWidth="1"/>
    <col min="7416" max="7416" width="12.140625" style="18" customWidth="1"/>
    <col min="7417" max="7417" width="11.85546875" style="18" customWidth="1"/>
    <col min="7418" max="7418" width="12.140625" style="18" customWidth="1"/>
    <col min="7419" max="7419" width="11.140625" style="18" customWidth="1"/>
    <col min="7420" max="7421" width="11.28515625" style="18" customWidth="1"/>
    <col min="7422" max="7658" width="9.140625" style="18"/>
    <col min="7659" max="7659" width="6.7109375" style="18" customWidth="1"/>
    <col min="7660" max="7660" width="10" style="18" customWidth="1"/>
    <col min="7661" max="7661" width="10.85546875" style="18" customWidth="1"/>
    <col min="7662" max="7662" width="56.140625" style="18" customWidth="1"/>
    <col min="7663" max="7663" width="13" style="18" customWidth="1"/>
    <col min="7664" max="7664" width="11" style="18" customWidth="1"/>
    <col min="7665" max="7665" width="11.85546875" style="18" customWidth="1"/>
    <col min="7666" max="7666" width="12.28515625" style="18" customWidth="1"/>
    <col min="7667" max="7667" width="11.85546875" style="18" customWidth="1"/>
    <col min="7668" max="7668" width="10.85546875" style="18" customWidth="1"/>
    <col min="7669" max="7669" width="11.85546875" style="18" customWidth="1"/>
    <col min="7670" max="7670" width="12.42578125" style="18" customWidth="1"/>
    <col min="7671" max="7671" width="12.28515625" style="18" customWidth="1"/>
    <col min="7672" max="7672" width="12.140625" style="18" customWidth="1"/>
    <col min="7673" max="7673" width="11.85546875" style="18" customWidth="1"/>
    <col min="7674" max="7674" width="12.140625" style="18" customWidth="1"/>
    <col min="7675" max="7675" width="11.140625" style="18" customWidth="1"/>
    <col min="7676" max="7677" width="11.28515625" style="18" customWidth="1"/>
    <col min="7678" max="7914" width="9.140625" style="18"/>
    <col min="7915" max="7915" width="6.7109375" style="18" customWidth="1"/>
    <col min="7916" max="7916" width="10" style="18" customWidth="1"/>
    <col min="7917" max="7917" width="10.85546875" style="18" customWidth="1"/>
    <col min="7918" max="7918" width="56.140625" style="18" customWidth="1"/>
    <col min="7919" max="7919" width="13" style="18" customWidth="1"/>
    <col min="7920" max="7920" width="11" style="18" customWidth="1"/>
    <col min="7921" max="7921" width="11.85546875" style="18" customWidth="1"/>
    <col min="7922" max="7922" width="12.28515625" style="18" customWidth="1"/>
    <col min="7923" max="7923" width="11.85546875" style="18" customWidth="1"/>
    <col min="7924" max="7924" width="10.85546875" style="18" customWidth="1"/>
    <col min="7925" max="7925" width="11.85546875" style="18" customWidth="1"/>
    <col min="7926" max="7926" width="12.42578125" style="18" customWidth="1"/>
    <col min="7927" max="7927" width="12.28515625" style="18" customWidth="1"/>
    <col min="7928" max="7928" width="12.140625" style="18" customWidth="1"/>
    <col min="7929" max="7929" width="11.85546875" style="18" customWidth="1"/>
    <col min="7930" max="7930" width="12.140625" style="18" customWidth="1"/>
    <col min="7931" max="7931" width="11.140625" style="18" customWidth="1"/>
    <col min="7932" max="7933" width="11.28515625" style="18" customWidth="1"/>
    <col min="7934" max="8170" width="9.140625" style="18"/>
    <col min="8171" max="8171" width="6.7109375" style="18" customWidth="1"/>
    <col min="8172" max="8172" width="10" style="18" customWidth="1"/>
    <col min="8173" max="8173" width="10.85546875" style="18" customWidth="1"/>
    <col min="8174" max="8174" width="56.140625" style="18" customWidth="1"/>
    <col min="8175" max="8175" width="13" style="18" customWidth="1"/>
    <col min="8176" max="8176" width="11" style="18" customWidth="1"/>
    <col min="8177" max="8177" width="11.85546875" style="18" customWidth="1"/>
    <col min="8178" max="8178" width="12.28515625" style="18" customWidth="1"/>
    <col min="8179" max="8179" width="11.85546875" style="18" customWidth="1"/>
    <col min="8180" max="8180" width="10.85546875" style="18" customWidth="1"/>
    <col min="8181" max="8181" width="11.85546875" style="18" customWidth="1"/>
    <col min="8182" max="8182" width="12.42578125" style="18" customWidth="1"/>
    <col min="8183" max="8183" width="12.28515625" style="18" customWidth="1"/>
    <col min="8184" max="8184" width="12.140625" style="18" customWidth="1"/>
    <col min="8185" max="8185" width="11.85546875" style="18" customWidth="1"/>
    <col min="8186" max="8186" width="12.140625" style="18" customWidth="1"/>
    <col min="8187" max="8187" width="11.140625" style="18" customWidth="1"/>
    <col min="8188" max="8189" width="11.28515625" style="18" customWidth="1"/>
    <col min="8190" max="8426" width="9.140625" style="18"/>
    <col min="8427" max="8427" width="6.7109375" style="18" customWidth="1"/>
    <col min="8428" max="8428" width="10" style="18" customWidth="1"/>
    <col min="8429" max="8429" width="10.85546875" style="18" customWidth="1"/>
    <col min="8430" max="8430" width="56.140625" style="18" customWidth="1"/>
    <col min="8431" max="8431" width="13" style="18" customWidth="1"/>
    <col min="8432" max="8432" width="11" style="18" customWidth="1"/>
    <col min="8433" max="8433" width="11.85546875" style="18" customWidth="1"/>
    <col min="8434" max="8434" width="12.28515625" style="18" customWidth="1"/>
    <col min="8435" max="8435" width="11.85546875" style="18" customWidth="1"/>
    <col min="8436" max="8436" width="10.85546875" style="18" customWidth="1"/>
    <col min="8437" max="8437" width="11.85546875" style="18" customWidth="1"/>
    <col min="8438" max="8438" width="12.42578125" style="18" customWidth="1"/>
    <col min="8439" max="8439" width="12.28515625" style="18" customWidth="1"/>
    <col min="8440" max="8440" width="12.140625" style="18" customWidth="1"/>
    <col min="8441" max="8441" width="11.85546875" style="18" customWidth="1"/>
    <col min="8442" max="8442" width="12.140625" style="18" customWidth="1"/>
    <col min="8443" max="8443" width="11.140625" style="18" customWidth="1"/>
    <col min="8444" max="8445" width="11.28515625" style="18" customWidth="1"/>
    <col min="8446" max="8682" width="9.140625" style="18"/>
    <col min="8683" max="8683" width="6.7109375" style="18" customWidth="1"/>
    <col min="8684" max="8684" width="10" style="18" customWidth="1"/>
    <col min="8685" max="8685" width="10.85546875" style="18" customWidth="1"/>
    <col min="8686" max="8686" width="56.140625" style="18" customWidth="1"/>
    <col min="8687" max="8687" width="13" style="18" customWidth="1"/>
    <col min="8688" max="8688" width="11" style="18" customWidth="1"/>
    <col min="8689" max="8689" width="11.85546875" style="18" customWidth="1"/>
    <col min="8690" max="8690" width="12.28515625" style="18" customWidth="1"/>
    <col min="8691" max="8691" width="11.85546875" style="18" customWidth="1"/>
    <col min="8692" max="8692" width="10.85546875" style="18" customWidth="1"/>
    <col min="8693" max="8693" width="11.85546875" style="18" customWidth="1"/>
    <col min="8694" max="8694" width="12.42578125" style="18" customWidth="1"/>
    <col min="8695" max="8695" width="12.28515625" style="18" customWidth="1"/>
    <col min="8696" max="8696" width="12.140625" style="18" customWidth="1"/>
    <col min="8697" max="8697" width="11.85546875" style="18" customWidth="1"/>
    <col min="8698" max="8698" width="12.140625" style="18" customWidth="1"/>
    <col min="8699" max="8699" width="11.140625" style="18" customWidth="1"/>
    <col min="8700" max="8701" width="11.28515625" style="18" customWidth="1"/>
    <col min="8702" max="8938" width="9.140625" style="18"/>
    <col min="8939" max="8939" width="6.7109375" style="18" customWidth="1"/>
    <col min="8940" max="8940" width="10" style="18" customWidth="1"/>
    <col min="8941" max="8941" width="10.85546875" style="18" customWidth="1"/>
    <col min="8942" max="8942" width="56.140625" style="18" customWidth="1"/>
    <col min="8943" max="8943" width="13" style="18" customWidth="1"/>
    <col min="8944" max="8944" width="11" style="18" customWidth="1"/>
    <col min="8945" max="8945" width="11.85546875" style="18" customWidth="1"/>
    <col min="8946" max="8946" width="12.28515625" style="18" customWidth="1"/>
    <col min="8947" max="8947" width="11.85546875" style="18" customWidth="1"/>
    <col min="8948" max="8948" width="10.85546875" style="18" customWidth="1"/>
    <col min="8949" max="8949" width="11.85546875" style="18" customWidth="1"/>
    <col min="8950" max="8950" width="12.42578125" style="18" customWidth="1"/>
    <col min="8951" max="8951" width="12.28515625" style="18" customWidth="1"/>
    <col min="8952" max="8952" width="12.140625" style="18" customWidth="1"/>
    <col min="8953" max="8953" width="11.85546875" style="18" customWidth="1"/>
    <col min="8954" max="8954" width="12.140625" style="18" customWidth="1"/>
    <col min="8955" max="8955" width="11.140625" style="18" customWidth="1"/>
    <col min="8956" max="8957" width="11.28515625" style="18" customWidth="1"/>
    <col min="8958" max="9194" width="9.140625" style="18"/>
    <col min="9195" max="9195" width="6.7109375" style="18" customWidth="1"/>
    <col min="9196" max="9196" width="10" style="18" customWidth="1"/>
    <col min="9197" max="9197" width="10.85546875" style="18" customWidth="1"/>
    <col min="9198" max="9198" width="56.140625" style="18" customWidth="1"/>
    <col min="9199" max="9199" width="13" style="18" customWidth="1"/>
    <col min="9200" max="9200" width="11" style="18" customWidth="1"/>
    <col min="9201" max="9201" width="11.85546875" style="18" customWidth="1"/>
    <col min="9202" max="9202" width="12.28515625" style="18" customWidth="1"/>
    <col min="9203" max="9203" width="11.85546875" style="18" customWidth="1"/>
    <col min="9204" max="9204" width="10.85546875" style="18" customWidth="1"/>
    <col min="9205" max="9205" width="11.85546875" style="18" customWidth="1"/>
    <col min="9206" max="9206" width="12.42578125" style="18" customWidth="1"/>
    <col min="9207" max="9207" width="12.28515625" style="18" customWidth="1"/>
    <col min="9208" max="9208" width="12.140625" style="18" customWidth="1"/>
    <col min="9209" max="9209" width="11.85546875" style="18" customWidth="1"/>
    <col min="9210" max="9210" width="12.140625" style="18" customWidth="1"/>
    <col min="9211" max="9211" width="11.140625" style="18" customWidth="1"/>
    <col min="9212" max="9213" width="11.28515625" style="18" customWidth="1"/>
    <col min="9214" max="9450" width="9.140625" style="18"/>
    <col min="9451" max="9451" width="6.7109375" style="18" customWidth="1"/>
    <col min="9452" max="9452" width="10" style="18" customWidth="1"/>
    <col min="9453" max="9453" width="10.85546875" style="18" customWidth="1"/>
    <col min="9454" max="9454" width="56.140625" style="18" customWidth="1"/>
    <col min="9455" max="9455" width="13" style="18" customWidth="1"/>
    <col min="9456" max="9456" width="11" style="18" customWidth="1"/>
    <col min="9457" max="9457" width="11.85546875" style="18" customWidth="1"/>
    <col min="9458" max="9458" width="12.28515625" style="18" customWidth="1"/>
    <col min="9459" max="9459" width="11.85546875" style="18" customWidth="1"/>
    <col min="9460" max="9460" width="10.85546875" style="18" customWidth="1"/>
    <col min="9461" max="9461" width="11.85546875" style="18" customWidth="1"/>
    <col min="9462" max="9462" width="12.42578125" style="18" customWidth="1"/>
    <col min="9463" max="9463" width="12.28515625" style="18" customWidth="1"/>
    <col min="9464" max="9464" width="12.140625" style="18" customWidth="1"/>
    <col min="9465" max="9465" width="11.85546875" style="18" customWidth="1"/>
    <col min="9466" max="9466" width="12.140625" style="18" customWidth="1"/>
    <col min="9467" max="9467" width="11.140625" style="18" customWidth="1"/>
    <col min="9468" max="9469" width="11.28515625" style="18" customWidth="1"/>
    <col min="9470" max="9706" width="9.140625" style="18"/>
    <col min="9707" max="9707" width="6.7109375" style="18" customWidth="1"/>
    <col min="9708" max="9708" width="10" style="18" customWidth="1"/>
    <col min="9709" max="9709" width="10.85546875" style="18" customWidth="1"/>
    <col min="9710" max="9710" width="56.140625" style="18" customWidth="1"/>
    <col min="9711" max="9711" width="13" style="18" customWidth="1"/>
    <col min="9712" max="9712" width="11" style="18" customWidth="1"/>
    <col min="9713" max="9713" width="11.85546875" style="18" customWidth="1"/>
    <col min="9714" max="9714" width="12.28515625" style="18" customWidth="1"/>
    <col min="9715" max="9715" width="11.85546875" style="18" customWidth="1"/>
    <col min="9716" max="9716" width="10.85546875" style="18" customWidth="1"/>
    <col min="9717" max="9717" width="11.85546875" style="18" customWidth="1"/>
    <col min="9718" max="9718" width="12.42578125" style="18" customWidth="1"/>
    <col min="9719" max="9719" width="12.28515625" style="18" customWidth="1"/>
    <col min="9720" max="9720" width="12.140625" style="18" customWidth="1"/>
    <col min="9721" max="9721" width="11.85546875" style="18" customWidth="1"/>
    <col min="9722" max="9722" width="12.140625" style="18" customWidth="1"/>
    <col min="9723" max="9723" width="11.140625" style="18" customWidth="1"/>
    <col min="9724" max="9725" width="11.28515625" style="18" customWidth="1"/>
    <col min="9726" max="9962" width="9.140625" style="18"/>
    <col min="9963" max="9963" width="6.7109375" style="18" customWidth="1"/>
    <col min="9964" max="9964" width="10" style="18" customWidth="1"/>
    <col min="9965" max="9965" width="10.85546875" style="18" customWidth="1"/>
    <col min="9966" max="9966" width="56.140625" style="18" customWidth="1"/>
    <col min="9967" max="9967" width="13" style="18" customWidth="1"/>
    <col min="9968" max="9968" width="11" style="18" customWidth="1"/>
    <col min="9969" max="9969" width="11.85546875" style="18" customWidth="1"/>
    <col min="9970" max="9970" width="12.28515625" style="18" customWidth="1"/>
    <col min="9971" max="9971" width="11.85546875" style="18" customWidth="1"/>
    <col min="9972" max="9972" width="10.85546875" style="18" customWidth="1"/>
    <col min="9973" max="9973" width="11.85546875" style="18" customWidth="1"/>
    <col min="9974" max="9974" width="12.42578125" style="18" customWidth="1"/>
    <col min="9975" max="9975" width="12.28515625" style="18" customWidth="1"/>
    <col min="9976" max="9976" width="12.140625" style="18" customWidth="1"/>
    <col min="9977" max="9977" width="11.85546875" style="18" customWidth="1"/>
    <col min="9978" max="9978" width="12.140625" style="18" customWidth="1"/>
    <col min="9979" max="9979" width="11.140625" style="18" customWidth="1"/>
    <col min="9980" max="9981" width="11.28515625" style="18" customWidth="1"/>
    <col min="9982" max="10218" width="9.140625" style="18"/>
    <col min="10219" max="10219" width="6.7109375" style="18" customWidth="1"/>
    <col min="10220" max="10220" width="10" style="18" customWidth="1"/>
    <col min="10221" max="10221" width="10.85546875" style="18" customWidth="1"/>
    <col min="10222" max="10222" width="56.140625" style="18" customWidth="1"/>
    <col min="10223" max="10223" width="13" style="18" customWidth="1"/>
    <col min="10224" max="10224" width="11" style="18" customWidth="1"/>
    <col min="10225" max="10225" width="11.85546875" style="18" customWidth="1"/>
    <col min="10226" max="10226" width="12.28515625" style="18" customWidth="1"/>
    <col min="10227" max="10227" width="11.85546875" style="18" customWidth="1"/>
    <col min="10228" max="10228" width="10.85546875" style="18" customWidth="1"/>
    <col min="10229" max="10229" width="11.85546875" style="18" customWidth="1"/>
    <col min="10230" max="10230" width="12.42578125" style="18" customWidth="1"/>
    <col min="10231" max="10231" width="12.28515625" style="18" customWidth="1"/>
    <col min="10232" max="10232" width="12.140625" style="18" customWidth="1"/>
    <col min="10233" max="10233" width="11.85546875" style="18" customWidth="1"/>
    <col min="10234" max="10234" width="12.140625" style="18" customWidth="1"/>
    <col min="10235" max="10235" width="11.140625" style="18" customWidth="1"/>
    <col min="10236" max="10237" width="11.28515625" style="18" customWidth="1"/>
    <col min="10238" max="10474" width="9.140625" style="18"/>
    <col min="10475" max="10475" width="6.7109375" style="18" customWidth="1"/>
    <col min="10476" max="10476" width="10" style="18" customWidth="1"/>
    <col min="10477" max="10477" width="10.85546875" style="18" customWidth="1"/>
    <col min="10478" max="10478" width="56.140625" style="18" customWidth="1"/>
    <col min="10479" max="10479" width="13" style="18" customWidth="1"/>
    <col min="10480" max="10480" width="11" style="18" customWidth="1"/>
    <col min="10481" max="10481" width="11.85546875" style="18" customWidth="1"/>
    <col min="10482" max="10482" width="12.28515625" style="18" customWidth="1"/>
    <col min="10483" max="10483" width="11.85546875" style="18" customWidth="1"/>
    <col min="10484" max="10484" width="10.85546875" style="18" customWidth="1"/>
    <col min="10485" max="10485" width="11.85546875" style="18" customWidth="1"/>
    <col min="10486" max="10486" width="12.42578125" style="18" customWidth="1"/>
    <col min="10487" max="10487" width="12.28515625" style="18" customWidth="1"/>
    <col min="10488" max="10488" width="12.140625" style="18" customWidth="1"/>
    <col min="10489" max="10489" width="11.85546875" style="18" customWidth="1"/>
    <col min="10490" max="10490" width="12.140625" style="18" customWidth="1"/>
    <col min="10491" max="10491" width="11.140625" style="18" customWidth="1"/>
    <col min="10492" max="10493" width="11.28515625" style="18" customWidth="1"/>
    <col min="10494" max="10730" width="9.140625" style="18"/>
    <col min="10731" max="10731" width="6.7109375" style="18" customWidth="1"/>
    <col min="10732" max="10732" width="10" style="18" customWidth="1"/>
    <col min="10733" max="10733" width="10.85546875" style="18" customWidth="1"/>
    <col min="10734" max="10734" width="56.140625" style="18" customWidth="1"/>
    <col min="10735" max="10735" width="13" style="18" customWidth="1"/>
    <col min="10736" max="10736" width="11" style="18" customWidth="1"/>
    <col min="10737" max="10737" width="11.85546875" style="18" customWidth="1"/>
    <col min="10738" max="10738" width="12.28515625" style="18" customWidth="1"/>
    <col min="10739" max="10739" width="11.85546875" style="18" customWidth="1"/>
    <col min="10740" max="10740" width="10.85546875" style="18" customWidth="1"/>
    <col min="10741" max="10741" width="11.85546875" style="18" customWidth="1"/>
    <col min="10742" max="10742" width="12.42578125" style="18" customWidth="1"/>
    <col min="10743" max="10743" width="12.28515625" style="18" customWidth="1"/>
    <col min="10744" max="10744" width="12.140625" style="18" customWidth="1"/>
    <col min="10745" max="10745" width="11.85546875" style="18" customWidth="1"/>
    <col min="10746" max="10746" width="12.140625" style="18" customWidth="1"/>
    <col min="10747" max="10747" width="11.140625" style="18" customWidth="1"/>
    <col min="10748" max="10749" width="11.28515625" style="18" customWidth="1"/>
    <col min="10750" max="10986" width="9.140625" style="18"/>
    <col min="10987" max="10987" width="6.7109375" style="18" customWidth="1"/>
    <col min="10988" max="10988" width="10" style="18" customWidth="1"/>
    <col min="10989" max="10989" width="10.85546875" style="18" customWidth="1"/>
    <col min="10990" max="10990" width="56.140625" style="18" customWidth="1"/>
    <col min="10991" max="10991" width="13" style="18" customWidth="1"/>
    <col min="10992" max="10992" width="11" style="18" customWidth="1"/>
    <col min="10993" max="10993" width="11.85546875" style="18" customWidth="1"/>
    <col min="10994" max="10994" width="12.28515625" style="18" customWidth="1"/>
    <col min="10995" max="10995" width="11.85546875" style="18" customWidth="1"/>
    <col min="10996" max="10996" width="10.85546875" style="18" customWidth="1"/>
    <col min="10997" max="10997" width="11.85546875" style="18" customWidth="1"/>
    <col min="10998" max="10998" width="12.42578125" style="18" customWidth="1"/>
    <col min="10999" max="10999" width="12.28515625" style="18" customWidth="1"/>
    <col min="11000" max="11000" width="12.140625" style="18" customWidth="1"/>
    <col min="11001" max="11001" width="11.85546875" style="18" customWidth="1"/>
    <col min="11002" max="11002" width="12.140625" style="18" customWidth="1"/>
    <col min="11003" max="11003" width="11.140625" style="18" customWidth="1"/>
    <col min="11004" max="11005" width="11.28515625" style="18" customWidth="1"/>
    <col min="11006" max="11242" width="9.140625" style="18"/>
    <col min="11243" max="11243" width="6.7109375" style="18" customWidth="1"/>
    <col min="11244" max="11244" width="10" style="18" customWidth="1"/>
    <col min="11245" max="11245" width="10.85546875" style="18" customWidth="1"/>
    <col min="11246" max="11246" width="56.140625" style="18" customWidth="1"/>
    <col min="11247" max="11247" width="13" style="18" customWidth="1"/>
    <col min="11248" max="11248" width="11" style="18" customWidth="1"/>
    <col min="11249" max="11249" width="11.85546875" style="18" customWidth="1"/>
    <col min="11250" max="11250" width="12.28515625" style="18" customWidth="1"/>
    <col min="11251" max="11251" width="11.85546875" style="18" customWidth="1"/>
    <col min="11252" max="11252" width="10.85546875" style="18" customWidth="1"/>
    <col min="11253" max="11253" width="11.85546875" style="18" customWidth="1"/>
    <col min="11254" max="11254" width="12.42578125" style="18" customWidth="1"/>
    <col min="11255" max="11255" width="12.28515625" style="18" customWidth="1"/>
    <col min="11256" max="11256" width="12.140625" style="18" customWidth="1"/>
    <col min="11257" max="11257" width="11.85546875" style="18" customWidth="1"/>
    <col min="11258" max="11258" width="12.140625" style="18" customWidth="1"/>
    <col min="11259" max="11259" width="11.140625" style="18" customWidth="1"/>
    <col min="11260" max="11261" width="11.28515625" style="18" customWidth="1"/>
    <col min="11262" max="11498" width="9.140625" style="18"/>
    <col min="11499" max="11499" width="6.7109375" style="18" customWidth="1"/>
    <col min="11500" max="11500" width="10" style="18" customWidth="1"/>
    <col min="11501" max="11501" width="10.85546875" style="18" customWidth="1"/>
    <col min="11502" max="11502" width="56.140625" style="18" customWidth="1"/>
    <col min="11503" max="11503" width="13" style="18" customWidth="1"/>
    <col min="11504" max="11504" width="11" style="18" customWidth="1"/>
    <col min="11505" max="11505" width="11.85546875" style="18" customWidth="1"/>
    <col min="11506" max="11506" width="12.28515625" style="18" customWidth="1"/>
    <col min="11507" max="11507" width="11.85546875" style="18" customWidth="1"/>
    <col min="11508" max="11508" width="10.85546875" style="18" customWidth="1"/>
    <col min="11509" max="11509" width="11.85546875" style="18" customWidth="1"/>
    <col min="11510" max="11510" width="12.42578125" style="18" customWidth="1"/>
    <col min="11511" max="11511" width="12.28515625" style="18" customWidth="1"/>
    <col min="11512" max="11512" width="12.140625" style="18" customWidth="1"/>
    <col min="11513" max="11513" width="11.85546875" style="18" customWidth="1"/>
    <col min="11514" max="11514" width="12.140625" style="18" customWidth="1"/>
    <col min="11515" max="11515" width="11.140625" style="18" customWidth="1"/>
    <col min="11516" max="11517" width="11.28515625" style="18" customWidth="1"/>
    <col min="11518" max="11754" width="9.140625" style="18"/>
    <col min="11755" max="11755" width="6.7109375" style="18" customWidth="1"/>
    <col min="11756" max="11756" width="10" style="18" customWidth="1"/>
    <col min="11757" max="11757" width="10.85546875" style="18" customWidth="1"/>
    <col min="11758" max="11758" width="56.140625" style="18" customWidth="1"/>
    <col min="11759" max="11759" width="13" style="18" customWidth="1"/>
    <col min="11760" max="11760" width="11" style="18" customWidth="1"/>
    <col min="11761" max="11761" width="11.85546875" style="18" customWidth="1"/>
    <col min="11762" max="11762" width="12.28515625" style="18" customWidth="1"/>
    <col min="11763" max="11763" width="11.85546875" style="18" customWidth="1"/>
    <col min="11764" max="11764" width="10.85546875" style="18" customWidth="1"/>
    <col min="11765" max="11765" width="11.85546875" style="18" customWidth="1"/>
    <col min="11766" max="11766" width="12.42578125" style="18" customWidth="1"/>
    <col min="11767" max="11767" width="12.28515625" style="18" customWidth="1"/>
    <col min="11768" max="11768" width="12.140625" style="18" customWidth="1"/>
    <col min="11769" max="11769" width="11.85546875" style="18" customWidth="1"/>
    <col min="11770" max="11770" width="12.140625" style="18" customWidth="1"/>
    <col min="11771" max="11771" width="11.140625" style="18" customWidth="1"/>
    <col min="11772" max="11773" width="11.28515625" style="18" customWidth="1"/>
    <col min="11774" max="12010" width="9.140625" style="18"/>
    <col min="12011" max="12011" width="6.7109375" style="18" customWidth="1"/>
    <col min="12012" max="12012" width="10" style="18" customWidth="1"/>
    <col min="12013" max="12013" width="10.85546875" style="18" customWidth="1"/>
    <col min="12014" max="12014" width="56.140625" style="18" customWidth="1"/>
    <col min="12015" max="12015" width="13" style="18" customWidth="1"/>
    <col min="12016" max="12016" width="11" style="18" customWidth="1"/>
    <col min="12017" max="12017" width="11.85546875" style="18" customWidth="1"/>
    <col min="12018" max="12018" width="12.28515625" style="18" customWidth="1"/>
    <col min="12019" max="12019" width="11.85546875" style="18" customWidth="1"/>
    <col min="12020" max="12020" width="10.85546875" style="18" customWidth="1"/>
    <col min="12021" max="12021" width="11.85546875" style="18" customWidth="1"/>
    <col min="12022" max="12022" width="12.42578125" style="18" customWidth="1"/>
    <col min="12023" max="12023" width="12.28515625" style="18" customWidth="1"/>
    <col min="12024" max="12024" width="12.140625" style="18" customWidth="1"/>
    <col min="12025" max="12025" width="11.85546875" style="18" customWidth="1"/>
    <col min="12026" max="12026" width="12.140625" style="18" customWidth="1"/>
    <col min="12027" max="12027" width="11.140625" style="18" customWidth="1"/>
    <col min="12028" max="12029" width="11.28515625" style="18" customWidth="1"/>
    <col min="12030" max="12266" width="9.140625" style="18"/>
    <col min="12267" max="12267" width="6.7109375" style="18" customWidth="1"/>
    <col min="12268" max="12268" width="10" style="18" customWidth="1"/>
    <col min="12269" max="12269" width="10.85546875" style="18" customWidth="1"/>
    <col min="12270" max="12270" width="56.140625" style="18" customWidth="1"/>
    <col min="12271" max="12271" width="13" style="18" customWidth="1"/>
    <col min="12272" max="12272" width="11" style="18" customWidth="1"/>
    <col min="12273" max="12273" width="11.85546875" style="18" customWidth="1"/>
    <col min="12274" max="12274" width="12.28515625" style="18" customWidth="1"/>
    <col min="12275" max="12275" width="11.85546875" style="18" customWidth="1"/>
    <col min="12276" max="12276" width="10.85546875" style="18" customWidth="1"/>
    <col min="12277" max="12277" width="11.85546875" style="18" customWidth="1"/>
    <col min="12278" max="12278" width="12.42578125" style="18" customWidth="1"/>
    <col min="12279" max="12279" width="12.28515625" style="18" customWidth="1"/>
    <col min="12280" max="12280" width="12.140625" style="18" customWidth="1"/>
    <col min="12281" max="12281" width="11.85546875" style="18" customWidth="1"/>
    <col min="12282" max="12282" width="12.140625" style="18" customWidth="1"/>
    <col min="12283" max="12283" width="11.140625" style="18" customWidth="1"/>
    <col min="12284" max="12285" width="11.28515625" style="18" customWidth="1"/>
    <col min="12286" max="12522" width="9.140625" style="18"/>
    <col min="12523" max="12523" width="6.7109375" style="18" customWidth="1"/>
    <col min="12524" max="12524" width="10" style="18" customWidth="1"/>
    <col min="12525" max="12525" width="10.85546875" style="18" customWidth="1"/>
    <col min="12526" max="12526" width="56.140625" style="18" customWidth="1"/>
    <col min="12527" max="12527" width="13" style="18" customWidth="1"/>
    <col min="12528" max="12528" width="11" style="18" customWidth="1"/>
    <col min="12529" max="12529" width="11.85546875" style="18" customWidth="1"/>
    <col min="12530" max="12530" width="12.28515625" style="18" customWidth="1"/>
    <col min="12531" max="12531" width="11.85546875" style="18" customWidth="1"/>
    <col min="12532" max="12532" width="10.85546875" style="18" customWidth="1"/>
    <col min="12533" max="12533" width="11.85546875" style="18" customWidth="1"/>
    <col min="12534" max="12534" width="12.42578125" style="18" customWidth="1"/>
    <col min="12535" max="12535" width="12.28515625" style="18" customWidth="1"/>
    <col min="12536" max="12536" width="12.140625" style="18" customWidth="1"/>
    <col min="12537" max="12537" width="11.85546875" style="18" customWidth="1"/>
    <col min="12538" max="12538" width="12.140625" style="18" customWidth="1"/>
    <col min="12539" max="12539" width="11.140625" style="18" customWidth="1"/>
    <col min="12540" max="12541" width="11.28515625" style="18" customWidth="1"/>
    <col min="12542" max="12778" width="9.140625" style="18"/>
    <col min="12779" max="12779" width="6.7109375" style="18" customWidth="1"/>
    <col min="12780" max="12780" width="10" style="18" customWidth="1"/>
    <col min="12781" max="12781" width="10.85546875" style="18" customWidth="1"/>
    <col min="12782" max="12782" width="56.140625" style="18" customWidth="1"/>
    <col min="12783" max="12783" width="13" style="18" customWidth="1"/>
    <col min="12784" max="12784" width="11" style="18" customWidth="1"/>
    <col min="12785" max="12785" width="11.85546875" style="18" customWidth="1"/>
    <col min="12786" max="12786" width="12.28515625" style="18" customWidth="1"/>
    <col min="12787" max="12787" width="11.85546875" style="18" customWidth="1"/>
    <col min="12788" max="12788" width="10.85546875" style="18" customWidth="1"/>
    <col min="12789" max="12789" width="11.85546875" style="18" customWidth="1"/>
    <col min="12790" max="12790" width="12.42578125" style="18" customWidth="1"/>
    <col min="12791" max="12791" width="12.28515625" style="18" customWidth="1"/>
    <col min="12792" max="12792" width="12.140625" style="18" customWidth="1"/>
    <col min="12793" max="12793" width="11.85546875" style="18" customWidth="1"/>
    <col min="12794" max="12794" width="12.140625" style="18" customWidth="1"/>
    <col min="12795" max="12795" width="11.140625" style="18" customWidth="1"/>
    <col min="12796" max="12797" width="11.28515625" style="18" customWidth="1"/>
    <col min="12798" max="13034" width="9.140625" style="18"/>
    <col min="13035" max="13035" width="6.7109375" style="18" customWidth="1"/>
    <col min="13036" max="13036" width="10" style="18" customWidth="1"/>
    <col min="13037" max="13037" width="10.85546875" style="18" customWidth="1"/>
    <col min="13038" max="13038" width="56.140625" style="18" customWidth="1"/>
    <col min="13039" max="13039" width="13" style="18" customWidth="1"/>
    <col min="13040" max="13040" width="11" style="18" customWidth="1"/>
    <col min="13041" max="13041" width="11.85546875" style="18" customWidth="1"/>
    <col min="13042" max="13042" width="12.28515625" style="18" customWidth="1"/>
    <col min="13043" max="13043" width="11.85546875" style="18" customWidth="1"/>
    <col min="13044" max="13044" width="10.85546875" style="18" customWidth="1"/>
    <col min="13045" max="13045" width="11.85546875" style="18" customWidth="1"/>
    <col min="13046" max="13046" width="12.42578125" style="18" customWidth="1"/>
    <col min="13047" max="13047" width="12.28515625" style="18" customWidth="1"/>
    <col min="13048" max="13048" width="12.140625" style="18" customWidth="1"/>
    <col min="13049" max="13049" width="11.85546875" style="18" customWidth="1"/>
    <col min="13050" max="13050" width="12.140625" style="18" customWidth="1"/>
    <col min="13051" max="13051" width="11.140625" style="18" customWidth="1"/>
    <col min="13052" max="13053" width="11.28515625" style="18" customWidth="1"/>
    <col min="13054" max="13290" width="9.140625" style="18"/>
    <col min="13291" max="13291" width="6.7109375" style="18" customWidth="1"/>
    <col min="13292" max="13292" width="10" style="18" customWidth="1"/>
    <col min="13293" max="13293" width="10.85546875" style="18" customWidth="1"/>
    <col min="13294" max="13294" width="56.140625" style="18" customWidth="1"/>
    <col min="13295" max="13295" width="13" style="18" customWidth="1"/>
    <col min="13296" max="13296" width="11" style="18" customWidth="1"/>
    <col min="13297" max="13297" width="11.85546875" style="18" customWidth="1"/>
    <col min="13298" max="13298" width="12.28515625" style="18" customWidth="1"/>
    <col min="13299" max="13299" width="11.85546875" style="18" customWidth="1"/>
    <col min="13300" max="13300" width="10.85546875" style="18" customWidth="1"/>
    <col min="13301" max="13301" width="11.85546875" style="18" customWidth="1"/>
    <col min="13302" max="13302" width="12.42578125" style="18" customWidth="1"/>
    <col min="13303" max="13303" width="12.28515625" style="18" customWidth="1"/>
    <col min="13304" max="13304" width="12.140625" style="18" customWidth="1"/>
    <col min="13305" max="13305" width="11.85546875" style="18" customWidth="1"/>
    <col min="13306" max="13306" width="12.140625" style="18" customWidth="1"/>
    <col min="13307" max="13307" width="11.140625" style="18" customWidth="1"/>
    <col min="13308" max="13309" width="11.28515625" style="18" customWidth="1"/>
    <col min="13310" max="13546" width="9.140625" style="18"/>
    <col min="13547" max="13547" width="6.7109375" style="18" customWidth="1"/>
    <col min="13548" max="13548" width="10" style="18" customWidth="1"/>
    <col min="13549" max="13549" width="10.85546875" style="18" customWidth="1"/>
    <col min="13550" max="13550" width="56.140625" style="18" customWidth="1"/>
    <col min="13551" max="13551" width="13" style="18" customWidth="1"/>
    <col min="13552" max="13552" width="11" style="18" customWidth="1"/>
    <col min="13553" max="13553" width="11.85546875" style="18" customWidth="1"/>
    <col min="13554" max="13554" width="12.28515625" style="18" customWidth="1"/>
    <col min="13555" max="13555" width="11.85546875" style="18" customWidth="1"/>
    <col min="13556" max="13556" width="10.85546875" style="18" customWidth="1"/>
    <col min="13557" max="13557" width="11.85546875" style="18" customWidth="1"/>
    <col min="13558" max="13558" width="12.42578125" style="18" customWidth="1"/>
    <col min="13559" max="13559" width="12.28515625" style="18" customWidth="1"/>
    <col min="13560" max="13560" width="12.140625" style="18" customWidth="1"/>
    <col min="13561" max="13561" width="11.85546875" style="18" customWidth="1"/>
    <col min="13562" max="13562" width="12.140625" style="18" customWidth="1"/>
    <col min="13563" max="13563" width="11.140625" style="18" customWidth="1"/>
    <col min="13564" max="13565" width="11.28515625" style="18" customWidth="1"/>
    <col min="13566" max="13802" width="9.140625" style="18"/>
    <col min="13803" max="13803" width="6.7109375" style="18" customWidth="1"/>
    <col min="13804" max="13804" width="10" style="18" customWidth="1"/>
    <col min="13805" max="13805" width="10.85546875" style="18" customWidth="1"/>
    <col min="13806" max="13806" width="56.140625" style="18" customWidth="1"/>
    <col min="13807" max="13807" width="13" style="18" customWidth="1"/>
    <col min="13808" max="13808" width="11" style="18" customWidth="1"/>
    <col min="13809" max="13809" width="11.85546875" style="18" customWidth="1"/>
    <col min="13810" max="13810" width="12.28515625" style="18" customWidth="1"/>
    <col min="13811" max="13811" width="11.85546875" style="18" customWidth="1"/>
    <col min="13812" max="13812" width="10.85546875" style="18" customWidth="1"/>
    <col min="13813" max="13813" width="11.85546875" style="18" customWidth="1"/>
    <col min="13814" max="13814" width="12.42578125" style="18" customWidth="1"/>
    <col min="13815" max="13815" width="12.28515625" style="18" customWidth="1"/>
    <col min="13816" max="13816" width="12.140625" style="18" customWidth="1"/>
    <col min="13817" max="13817" width="11.85546875" style="18" customWidth="1"/>
    <col min="13818" max="13818" width="12.140625" style="18" customWidth="1"/>
    <col min="13819" max="13819" width="11.140625" style="18" customWidth="1"/>
    <col min="13820" max="13821" width="11.28515625" style="18" customWidth="1"/>
    <col min="13822" max="14058" width="9.140625" style="18"/>
    <col min="14059" max="14059" width="6.7109375" style="18" customWidth="1"/>
    <col min="14060" max="14060" width="10" style="18" customWidth="1"/>
    <col min="14061" max="14061" width="10.85546875" style="18" customWidth="1"/>
    <col min="14062" max="14062" width="56.140625" style="18" customWidth="1"/>
    <col min="14063" max="14063" width="13" style="18" customWidth="1"/>
    <col min="14064" max="14064" width="11" style="18" customWidth="1"/>
    <col min="14065" max="14065" width="11.85546875" style="18" customWidth="1"/>
    <col min="14066" max="14066" width="12.28515625" style="18" customWidth="1"/>
    <col min="14067" max="14067" width="11.85546875" style="18" customWidth="1"/>
    <col min="14068" max="14068" width="10.85546875" style="18" customWidth="1"/>
    <col min="14069" max="14069" width="11.85546875" style="18" customWidth="1"/>
    <col min="14070" max="14070" width="12.42578125" style="18" customWidth="1"/>
    <col min="14071" max="14071" width="12.28515625" style="18" customWidth="1"/>
    <col min="14072" max="14072" width="12.140625" style="18" customWidth="1"/>
    <col min="14073" max="14073" width="11.85546875" style="18" customWidth="1"/>
    <col min="14074" max="14074" width="12.140625" style="18" customWidth="1"/>
    <col min="14075" max="14075" width="11.140625" style="18" customWidth="1"/>
    <col min="14076" max="14077" width="11.28515625" style="18" customWidth="1"/>
    <col min="14078" max="14314" width="9.140625" style="18"/>
    <col min="14315" max="14315" width="6.7109375" style="18" customWidth="1"/>
    <col min="14316" max="14316" width="10" style="18" customWidth="1"/>
    <col min="14317" max="14317" width="10.85546875" style="18" customWidth="1"/>
    <col min="14318" max="14318" width="56.140625" style="18" customWidth="1"/>
    <col min="14319" max="14319" width="13" style="18" customWidth="1"/>
    <col min="14320" max="14320" width="11" style="18" customWidth="1"/>
    <col min="14321" max="14321" width="11.85546875" style="18" customWidth="1"/>
    <col min="14322" max="14322" width="12.28515625" style="18" customWidth="1"/>
    <col min="14323" max="14323" width="11.85546875" style="18" customWidth="1"/>
    <col min="14324" max="14324" width="10.85546875" style="18" customWidth="1"/>
    <col min="14325" max="14325" width="11.85546875" style="18" customWidth="1"/>
    <col min="14326" max="14326" width="12.42578125" style="18" customWidth="1"/>
    <col min="14327" max="14327" width="12.28515625" style="18" customWidth="1"/>
    <col min="14328" max="14328" width="12.140625" style="18" customWidth="1"/>
    <col min="14329" max="14329" width="11.85546875" style="18" customWidth="1"/>
    <col min="14330" max="14330" width="12.140625" style="18" customWidth="1"/>
    <col min="14331" max="14331" width="11.140625" style="18" customWidth="1"/>
    <col min="14332" max="14333" width="11.28515625" style="18" customWidth="1"/>
    <col min="14334" max="14570" width="9.140625" style="18"/>
    <col min="14571" max="14571" width="6.7109375" style="18" customWidth="1"/>
    <col min="14572" max="14572" width="10" style="18" customWidth="1"/>
    <col min="14573" max="14573" width="10.85546875" style="18" customWidth="1"/>
    <col min="14574" max="14574" width="56.140625" style="18" customWidth="1"/>
    <col min="14575" max="14575" width="13" style="18" customWidth="1"/>
    <col min="14576" max="14576" width="11" style="18" customWidth="1"/>
    <col min="14577" max="14577" width="11.85546875" style="18" customWidth="1"/>
    <col min="14578" max="14578" width="12.28515625" style="18" customWidth="1"/>
    <col min="14579" max="14579" width="11.85546875" style="18" customWidth="1"/>
    <col min="14580" max="14580" width="10.85546875" style="18" customWidth="1"/>
    <col min="14581" max="14581" width="11.85546875" style="18" customWidth="1"/>
    <col min="14582" max="14582" width="12.42578125" style="18" customWidth="1"/>
    <col min="14583" max="14583" width="12.28515625" style="18" customWidth="1"/>
    <col min="14584" max="14584" width="12.140625" style="18" customWidth="1"/>
    <col min="14585" max="14585" width="11.85546875" style="18" customWidth="1"/>
    <col min="14586" max="14586" width="12.140625" style="18" customWidth="1"/>
    <col min="14587" max="14587" width="11.140625" style="18" customWidth="1"/>
    <col min="14588" max="14589" width="11.28515625" style="18" customWidth="1"/>
    <col min="14590" max="14826" width="9.140625" style="18"/>
    <col min="14827" max="14827" width="6.7109375" style="18" customWidth="1"/>
    <col min="14828" max="14828" width="10" style="18" customWidth="1"/>
    <col min="14829" max="14829" width="10.85546875" style="18" customWidth="1"/>
    <col min="14830" max="14830" width="56.140625" style="18" customWidth="1"/>
    <col min="14831" max="14831" width="13" style="18" customWidth="1"/>
    <col min="14832" max="14832" width="11" style="18" customWidth="1"/>
    <col min="14833" max="14833" width="11.85546875" style="18" customWidth="1"/>
    <col min="14834" max="14834" width="12.28515625" style="18" customWidth="1"/>
    <col min="14835" max="14835" width="11.85546875" style="18" customWidth="1"/>
    <col min="14836" max="14836" width="10.85546875" style="18" customWidth="1"/>
    <col min="14837" max="14837" width="11.85546875" style="18" customWidth="1"/>
    <col min="14838" max="14838" width="12.42578125" style="18" customWidth="1"/>
    <col min="14839" max="14839" width="12.28515625" style="18" customWidth="1"/>
    <col min="14840" max="14840" width="12.140625" style="18" customWidth="1"/>
    <col min="14841" max="14841" width="11.85546875" style="18" customWidth="1"/>
    <col min="14842" max="14842" width="12.140625" style="18" customWidth="1"/>
    <col min="14843" max="14843" width="11.140625" style="18" customWidth="1"/>
    <col min="14844" max="14845" width="11.28515625" style="18" customWidth="1"/>
    <col min="14846" max="15082" width="9.140625" style="18"/>
    <col min="15083" max="15083" width="6.7109375" style="18" customWidth="1"/>
    <col min="15084" max="15084" width="10" style="18" customWidth="1"/>
    <col min="15085" max="15085" width="10.85546875" style="18" customWidth="1"/>
    <col min="15086" max="15086" width="56.140625" style="18" customWidth="1"/>
    <col min="15087" max="15087" width="13" style="18" customWidth="1"/>
    <col min="15088" max="15088" width="11" style="18" customWidth="1"/>
    <col min="15089" max="15089" width="11.85546875" style="18" customWidth="1"/>
    <col min="15090" max="15090" width="12.28515625" style="18" customWidth="1"/>
    <col min="15091" max="15091" width="11.85546875" style="18" customWidth="1"/>
    <col min="15092" max="15092" width="10.85546875" style="18" customWidth="1"/>
    <col min="15093" max="15093" width="11.85546875" style="18" customWidth="1"/>
    <col min="15094" max="15094" width="12.42578125" style="18" customWidth="1"/>
    <col min="15095" max="15095" width="12.28515625" style="18" customWidth="1"/>
    <col min="15096" max="15096" width="12.140625" style="18" customWidth="1"/>
    <col min="15097" max="15097" width="11.85546875" style="18" customWidth="1"/>
    <col min="15098" max="15098" width="12.140625" style="18" customWidth="1"/>
    <col min="15099" max="15099" width="11.140625" style="18" customWidth="1"/>
    <col min="15100" max="15101" width="11.28515625" style="18" customWidth="1"/>
    <col min="15102" max="15338" width="9.140625" style="18"/>
    <col min="15339" max="15339" width="6.7109375" style="18" customWidth="1"/>
    <col min="15340" max="15340" width="10" style="18" customWidth="1"/>
    <col min="15341" max="15341" width="10.85546875" style="18" customWidth="1"/>
    <col min="15342" max="15342" width="56.140625" style="18" customWidth="1"/>
    <col min="15343" max="15343" width="13" style="18" customWidth="1"/>
    <col min="15344" max="15344" width="11" style="18" customWidth="1"/>
    <col min="15345" max="15345" width="11.85546875" style="18" customWidth="1"/>
    <col min="15346" max="15346" width="12.28515625" style="18" customWidth="1"/>
    <col min="15347" max="15347" width="11.85546875" style="18" customWidth="1"/>
    <col min="15348" max="15348" width="10.85546875" style="18" customWidth="1"/>
    <col min="15349" max="15349" width="11.85546875" style="18" customWidth="1"/>
    <col min="15350" max="15350" width="12.42578125" style="18" customWidth="1"/>
    <col min="15351" max="15351" width="12.28515625" style="18" customWidth="1"/>
    <col min="15352" max="15352" width="12.140625" style="18" customWidth="1"/>
    <col min="15353" max="15353" width="11.85546875" style="18" customWidth="1"/>
    <col min="15354" max="15354" width="12.140625" style="18" customWidth="1"/>
    <col min="15355" max="15355" width="11.140625" style="18" customWidth="1"/>
    <col min="15356" max="15357" width="11.28515625" style="18" customWidth="1"/>
    <col min="15358" max="15594" width="9.140625" style="18"/>
    <col min="15595" max="15595" width="6.7109375" style="18" customWidth="1"/>
    <col min="15596" max="15596" width="10" style="18" customWidth="1"/>
    <col min="15597" max="15597" width="10.85546875" style="18" customWidth="1"/>
    <col min="15598" max="15598" width="56.140625" style="18" customWidth="1"/>
    <col min="15599" max="15599" width="13" style="18" customWidth="1"/>
    <col min="15600" max="15600" width="11" style="18" customWidth="1"/>
    <col min="15601" max="15601" width="11.85546875" style="18" customWidth="1"/>
    <col min="15602" max="15602" width="12.28515625" style="18" customWidth="1"/>
    <col min="15603" max="15603" width="11.85546875" style="18" customWidth="1"/>
    <col min="15604" max="15604" width="10.85546875" style="18" customWidth="1"/>
    <col min="15605" max="15605" width="11.85546875" style="18" customWidth="1"/>
    <col min="15606" max="15606" width="12.42578125" style="18" customWidth="1"/>
    <col min="15607" max="15607" width="12.28515625" style="18" customWidth="1"/>
    <col min="15608" max="15608" width="12.140625" style="18" customWidth="1"/>
    <col min="15609" max="15609" width="11.85546875" style="18" customWidth="1"/>
    <col min="15610" max="15610" width="12.140625" style="18" customWidth="1"/>
    <col min="15611" max="15611" width="11.140625" style="18" customWidth="1"/>
    <col min="15612" max="15613" width="11.28515625" style="18" customWidth="1"/>
    <col min="15614" max="15850" width="9.140625" style="18"/>
    <col min="15851" max="15851" width="6.7109375" style="18" customWidth="1"/>
    <col min="15852" max="15852" width="10" style="18" customWidth="1"/>
    <col min="15853" max="15853" width="10.85546875" style="18" customWidth="1"/>
    <col min="15854" max="15854" width="56.140625" style="18" customWidth="1"/>
    <col min="15855" max="15855" width="13" style="18" customWidth="1"/>
    <col min="15856" max="15856" width="11" style="18" customWidth="1"/>
    <col min="15857" max="15857" width="11.85546875" style="18" customWidth="1"/>
    <col min="15858" max="15858" width="12.28515625" style="18" customWidth="1"/>
    <col min="15859" max="15859" width="11.85546875" style="18" customWidth="1"/>
    <col min="15860" max="15860" width="10.85546875" style="18" customWidth="1"/>
    <col min="15861" max="15861" width="11.85546875" style="18" customWidth="1"/>
    <col min="15862" max="15862" width="12.42578125" style="18" customWidth="1"/>
    <col min="15863" max="15863" width="12.28515625" style="18" customWidth="1"/>
    <col min="15864" max="15864" width="12.140625" style="18" customWidth="1"/>
    <col min="15865" max="15865" width="11.85546875" style="18" customWidth="1"/>
    <col min="15866" max="15866" width="12.140625" style="18" customWidth="1"/>
    <col min="15867" max="15867" width="11.140625" style="18" customWidth="1"/>
    <col min="15868" max="15869" width="11.28515625" style="18" customWidth="1"/>
    <col min="15870" max="16384" width="9.140625" style="18"/>
  </cols>
  <sheetData>
    <row r="1" spans="1:18">
      <c r="E1" s="120"/>
      <c r="F1" s="226"/>
      <c r="G1" s="32"/>
      <c r="H1" s="217" t="s">
        <v>234</v>
      </c>
      <c r="Q1" s="20"/>
      <c r="R1" s="20"/>
    </row>
    <row r="2" spans="1:18">
      <c r="F2" s="226"/>
      <c r="G2" s="32"/>
      <c r="H2" s="218" t="s">
        <v>157</v>
      </c>
    </row>
    <row r="3" spans="1:18">
      <c r="E3" s="120"/>
      <c r="F3" s="501" t="s">
        <v>248</v>
      </c>
      <c r="G3" s="501"/>
      <c r="H3" s="501"/>
    </row>
    <row r="5" spans="1:18" ht="54.75" hidden="1" customHeight="1">
      <c r="A5" s="505" t="s">
        <v>147</v>
      </c>
      <c r="B5" s="505"/>
      <c r="C5" s="505"/>
      <c r="D5" s="505"/>
      <c r="E5" s="505"/>
      <c r="F5" s="505"/>
    </row>
    <row r="6" spans="1:18" ht="9" hidden="1" customHeight="1">
      <c r="A6" s="68"/>
      <c r="B6" s="68"/>
      <c r="C6" s="68"/>
      <c r="D6" s="68"/>
      <c r="E6" s="68"/>
      <c r="F6" s="251"/>
    </row>
    <row r="7" spans="1:18">
      <c r="A7" s="516" t="s">
        <v>140</v>
      </c>
      <c r="B7" s="516"/>
      <c r="C7" s="516"/>
      <c r="D7" s="516"/>
      <c r="E7" s="516"/>
      <c r="F7" s="516"/>
      <c r="G7" s="516"/>
      <c r="H7" s="516"/>
    </row>
    <row r="9" spans="1:18" s="20" customFormat="1" ht="38.25" customHeight="1">
      <c r="A9" s="520" t="s">
        <v>35</v>
      </c>
      <c r="B9" s="520" t="s">
        <v>1</v>
      </c>
      <c r="C9" s="520" t="s">
        <v>36</v>
      </c>
      <c r="D9" s="520" t="s">
        <v>148</v>
      </c>
      <c r="E9" s="460" t="s">
        <v>163</v>
      </c>
      <c r="F9" s="461"/>
      <c r="G9" s="462" t="s">
        <v>164</v>
      </c>
      <c r="H9" s="463"/>
      <c r="J9" s="19"/>
      <c r="K9" s="19"/>
    </row>
    <row r="10" spans="1:18" s="20" customFormat="1" ht="60" customHeight="1">
      <c r="A10" s="521"/>
      <c r="B10" s="521"/>
      <c r="C10" s="521"/>
      <c r="D10" s="521"/>
      <c r="E10" s="133" t="s">
        <v>3</v>
      </c>
      <c r="F10" s="228" t="s">
        <v>37</v>
      </c>
      <c r="G10" s="134" t="s">
        <v>3</v>
      </c>
      <c r="H10" s="153" t="s">
        <v>37</v>
      </c>
      <c r="J10" s="19"/>
      <c r="K10" s="19"/>
    </row>
    <row r="11" spans="1:18" s="20" customFormat="1">
      <c r="A11" s="21">
        <v>1</v>
      </c>
      <c r="B11" s="21">
        <v>2</v>
      </c>
      <c r="C11" s="21">
        <v>3</v>
      </c>
      <c r="D11" s="22">
        <v>4</v>
      </c>
      <c r="E11" s="10">
        <v>5</v>
      </c>
      <c r="F11" s="10">
        <v>6</v>
      </c>
      <c r="G11" s="10">
        <v>7</v>
      </c>
      <c r="H11" s="10">
        <v>8</v>
      </c>
      <c r="J11" s="19"/>
      <c r="K11" s="19"/>
    </row>
    <row r="12" spans="1:18" s="20" customFormat="1" ht="19.5" customHeight="1">
      <c r="A12" s="23">
        <v>1</v>
      </c>
      <c r="B12" s="210">
        <v>530001</v>
      </c>
      <c r="C12" s="50" t="s">
        <v>165</v>
      </c>
      <c r="D12" s="127" t="s">
        <v>166</v>
      </c>
      <c r="E12" s="128">
        <f>SUM(E13:E27)</f>
        <v>-5</v>
      </c>
      <c r="F12" s="129">
        <f t="shared" ref="F12:H12" si="0">SUM(F13:F27)</f>
        <v>-614146.07999999705</v>
      </c>
      <c r="G12" s="128">
        <f t="shared" si="0"/>
        <v>-9</v>
      </c>
      <c r="H12" s="129">
        <f t="shared" si="0"/>
        <v>-2076193.2200000009</v>
      </c>
      <c r="J12" s="19"/>
      <c r="K12" s="19"/>
    </row>
    <row r="13" spans="1:18" s="20" customFormat="1">
      <c r="A13" s="522"/>
      <c r="B13" s="112">
        <v>530001</v>
      </c>
      <c r="C13" s="107">
        <v>10</v>
      </c>
      <c r="D13" s="65" t="s">
        <v>28</v>
      </c>
      <c r="E13" s="51">
        <v>-3</v>
      </c>
      <c r="F13" s="130">
        <v>-567772.8599999994</v>
      </c>
      <c r="G13" s="51">
        <v>-3</v>
      </c>
      <c r="H13" s="130">
        <v>-567772.86</v>
      </c>
      <c r="J13" s="104"/>
      <c r="K13" s="254"/>
    </row>
    <row r="14" spans="1:18" s="20" customFormat="1">
      <c r="A14" s="523"/>
      <c r="B14" s="212"/>
      <c r="C14" s="107">
        <v>14</v>
      </c>
      <c r="D14" s="65" t="s">
        <v>28</v>
      </c>
      <c r="E14" s="51">
        <v>0</v>
      </c>
      <c r="F14" s="130">
        <v>0</v>
      </c>
      <c r="G14" s="51">
        <v>-2</v>
      </c>
      <c r="H14" s="130">
        <v>-686769.96000000089</v>
      </c>
      <c r="J14" s="104"/>
      <c r="K14" s="254"/>
    </row>
    <row r="15" spans="1:18" s="20" customFormat="1">
      <c r="A15" s="523"/>
      <c r="B15" s="212">
        <v>530001</v>
      </c>
      <c r="C15" s="107">
        <v>28</v>
      </c>
      <c r="D15" s="65" t="s">
        <v>27</v>
      </c>
      <c r="E15" s="51">
        <v>-5</v>
      </c>
      <c r="F15" s="130">
        <v>-354742</v>
      </c>
      <c r="G15" s="51">
        <v>-5</v>
      </c>
      <c r="H15" s="130">
        <v>-354742</v>
      </c>
      <c r="J15" s="104"/>
      <c r="K15" s="254"/>
    </row>
    <row r="16" spans="1:18" s="20" customFormat="1">
      <c r="A16" s="523"/>
      <c r="B16" s="212">
        <v>530001</v>
      </c>
      <c r="C16" s="107">
        <v>37</v>
      </c>
      <c r="D16" s="65" t="s">
        <v>39</v>
      </c>
      <c r="E16" s="51">
        <v>-4</v>
      </c>
      <c r="F16" s="130">
        <v>-743760.15999999642</v>
      </c>
      <c r="G16" s="51">
        <v>-5</v>
      </c>
      <c r="H16" s="130">
        <v>-929700.19999999914</v>
      </c>
      <c r="J16" s="104"/>
      <c r="K16" s="254"/>
    </row>
    <row r="17" spans="1:11" s="20" customFormat="1">
      <c r="A17" s="523"/>
      <c r="B17" s="212"/>
      <c r="C17" s="107">
        <v>38</v>
      </c>
      <c r="D17" s="65" t="s">
        <v>39</v>
      </c>
      <c r="E17" s="51">
        <v>0</v>
      </c>
      <c r="F17" s="130">
        <v>0</v>
      </c>
      <c r="G17" s="51">
        <v>-4</v>
      </c>
      <c r="H17" s="130">
        <v>-862030.60000000149</v>
      </c>
      <c r="J17" s="104"/>
      <c r="K17" s="254"/>
    </row>
    <row r="18" spans="1:11" s="20" customFormat="1">
      <c r="A18" s="523"/>
      <c r="B18" s="212"/>
      <c r="C18" s="107">
        <v>39</v>
      </c>
      <c r="D18" s="65" t="s">
        <v>39</v>
      </c>
      <c r="E18" s="51">
        <v>0</v>
      </c>
      <c r="F18" s="130">
        <v>0</v>
      </c>
      <c r="G18" s="51">
        <v>-3</v>
      </c>
      <c r="H18" s="130">
        <v>-734663.8200000003</v>
      </c>
      <c r="J18" s="104"/>
      <c r="K18" s="254"/>
    </row>
    <row r="19" spans="1:11" s="20" customFormat="1">
      <c r="A19" s="523"/>
      <c r="B19" s="212"/>
      <c r="C19" s="107">
        <v>41</v>
      </c>
      <c r="D19" s="65" t="s">
        <v>39</v>
      </c>
      <c r="E19" s="51">
        <v>0</v>
      </c>
      <c r="F19" s="130">
        <v>0</v>
      </c>
      <c r="G19" s="51">
        <v>6</v>
      </c>
      <c r="H19" s="130">
        <v>1007357.2800000008</v>
      </c>
      <c r="J19" s="104"/>
      <c r="K19" s="254"/>
    </row>
    <row r="20" spans="1:11" s="20" customFormat="1">
      <c r="A20" s="523"/>
      <c r="B20" s="212">
        <v>530001</v>
      </c>
      <c r="C20" s="107">
        <v>44</v>
      </c>
      <c r="D20" s="65" t="s">
        <v>39</v>
      </c>
      <c r="E20" s="51">
        <v>10</v>
      </c>
      <c r="F20" s="130">
        <v>1544415.6999999993</v>
      </c>
      <c r="G20" s="51">
        <v>10</v>
      </c>
      <c r="H20" s="130">
        <v>1544415.7</v>
      </c>
      <c r="J20" s="104"/>
      <c r="K20" s="254"/>
    </row>
    <row r="21" spans="1:11" s="20" customFormat="1">
      <c r="A21" s="523"/>
      <c r="B21" s="212">
        <v>530001</v>
      </c>
      <c r="C21" s="107">
        <v>45</v>
      </c>
      <c r="D21" s="65" t="s">
        <v>39</v>
      </c>
      <c r="E21" s="51">
        <v>1</v>
      </c>
      <c r="F21" s="130">
        <v>192114.08999999985</v>
      </c>
      <c r="G21" s="51">
        <v>1</v>
      </c>
      <c r="H21" s="130">
        <v>192114.09</v>
      </c>
      <c r="J21" s="104"/>
      <c r="K21" s="254"/>
    </row>
    <row r="22" spans="1:11" s="19" customFormat="1">
      <c r="A22" s="523"/>
      <c r="B22" s="212">
        <v>530001</v>
      </c>
      <c r="C22" s="107">
        <v>56</v>
      </c>
      <c r="D22" s="65" t="s">
        <v>14</v>
      </c>
      <c r="E22" s="51">
        <v>-2</v>
      </c>
      <c r="F22" s="130">
        <v>-313673.97999999858</v>
      </c>
      <c r="G22" s="51">
        <v>-2</v>
      </c>
      <c r="H22" s="130">
        <v>-313673.98</v>
      </c>
      <c r="J22" s="104"/>
      <c r="K22" s="254"/>
    </row>
    <row r="23" spans="1:11" s="20" customFormat="1">
      <c r="A23" s="523"/>
      <c r="B23" s="212">
        <v>530001</v>
      </c>
      <c r="C23" s="107">
        <v>57</v>
      </c>
      <c r="D23" s="65" t="s">
        <v>14</v>
      </c>
      <c r="E23" s="51">
        <v>-1</v>
      </c>
      <c r="F23" s="130">
        <v>-319754.93000000017</v>
      </c>
      <c r="G23" s="51">
        <v>-1</v>
      </c>
      <c r="H23" s="130">
        <v>-319754.93</v>
      </c>
      <c r="J23" s="104"/>
      <c r="K23" s="254"/>
    </row>
    <row r="24" spans="1:11" s="19" customFormat="1">
      <c r="A24" s="523"/>
      <c r="B24" s="212">
        <v>530001</v>
      </c>
      <c r="C24" s="107">
        <v>58</v>
      </c>
      <c r="D24" s="65" t="s">
        <v>14</v>
      </c>
      <c r="E24" s="51">
        <v>1</v>
      </c>
      <c r="F24" s="130">
        <v>185409.03</v>
      </c>
      <c r="G24" s="51">
        <v>1</v>
      </c>
      <c r="H24" s="130">
        <v>185409.03</v>
      </c>
      <c r="J24" s="104"/>
      <c r="K24" s="254"/>
    </row>
    <row r="25" spans="1:11" s="19" customFormat="1">
      <c r="A25" s="523"/>
      <c r="B25" s="212">
        <v>530001</v>
      </c>
      <c r="C25" s="107">
        <v>59</v>
      </c>
      <c r="D25" s="65" t="s">
        <v>14</v>
      </c>
      <c r="E25" s="51">
        <v>1</v>
      </c>
      <c r="F25" s="130">
        <v>246355.57999999821</v>
      </c>
      <c r="G25" s="51">
        <v>1</v>
      </c>
      <c r="H25" s="130">
        <v>246355.58</v>
      </c>
      <c r="J25" s="104"/>
      <c r="K25" s="254"/>
    </row>
    <row r="26" spans="1:11" s="20" customFormat="1">
      <c r="A26" s="523"/>
      <c r="B26" s="212">
        <v>530001</v>
      </c>
      <c r="C26" s="107">
        <v>63</v>
      </c>
      <c r="D26" s="65" t="s">
        <v>17</v>
      </c>
      <c r="E26" s="51">
        <v>-1</v>
      </c>
      <c r="F26" s="130">
        <v>-193989.20999999996</v>
      </c>
      <c r="G26" s="51">
        <v>-1</v>
      </c>
      <c r="H26" s="130">
        <v>-193989.21</v>
      </c>
      <c r="J26" s="104"/>
      <c r="K26" s="254"/>
    </row>
    <row r="27" spans="1:11" s="20" customFormat="1">
      <c r="A27" s="523"/>
      <c r="B27" s="213">
        <v>530001</v>
      </c>
      <c r="C27" s="107">
        <v>65</v>
      </c>
      <c r="D27" s="65" t="s">
        <v>42</v>
      </c>
      <c r="E27" s="51">
        <v>-2</v>
      </c>
      <c r="F27" s="130">
        <v>-288747.33999999985</v>
      </c>
      <c r="G27" s="51">
        <v>-2</v>
      </c>
      <c r="H27" s="130">
        <v>-288747.34000000003</v>
      </c>
      <c r="J27" s="104"/>
      <c r="K27" s="254"/>
    </row>
    <row r="28" spans="1:11" s="20" customFormat="1">
      <c r="A28" s="23">
        <v>2</v>
      </c>
      <c r="B28" s="362">
        <v>530002</v>
      </c>
      <c r="C28" s="356" t="s">
        <v>165</v>
      </c>
      <c r="D28" s="359" t="s">
        <v>272</v>
      </c>
      <c r="E28" s="128">
        <f>SUM(E29:E30)</f>
        <v>0</v>
      </c>
      <c r="F28" s="129">
        <f t="shared" ref="F28:H28" si="1">SUM(F29:F30)</f>
        <v>0</v>
      </c>
      <c r="G28" s="128">
        <f t="shared" si="1"/>
        <v>-4</v>
      </c>
      <c r="H28" s="129">
        <f t="shared" si="1"/>
        <v>-803840.14000000013</v>
      </c>
      <c r="J28" s="104"/>
      <c r="K28" s="254"/>
    </row>
    <row r="29" spans="1:11" s="20" customFormat="1">
      <c r="A29" s="524"/>
      <c r="B29" s="112"/>
      <c r="C29" s="361">
        <v>16</v>
      </c>
      <c r="D29" s="358" t="s">
        <v>38</v>
      </c>
      <c r="E29" s="51">
        <v>0</v>
      </c>
      <c r="F29" s="130">
        <v>0</v>
      </c>
      <c r="G29" s="322">
        <v>-2</v>
      </c>
      <c r="H29" s="360">
        <v>-582369.46</v>
      </c>
      <c r="J29" s="104"/>
      <c r="K29" s="254"/>
    </row>
    <row r="30" spans="1:11" s="20" customFormat="1">
      <c r="A30" s="525"/>
      <c r="B30" s="213"/>
      <c r="C30" s="361">
        <v>61</v>
      </c>
      <c r="D30" s="358" t="s">
        <v>41</v>
      </c>
      <c r="E30" s="51">
        <v>0</v>
      </c>
      <c r="F30" s="130">
        <v>0</v>
      </c>
      <c r="G30" s="51">
        <v>-2</v>
      </c>
      <c r="H30" s="130">
        <v>-221470.68000000017</v>
      </c>
      <c r="J30" s="104"/>
      <c r="K30" s="254"/>
    </row>
    <row r="31" spans="1:11" s="20" customFormat="1">
      <c r="A31" s="23">
        <v>3</v>
      </c>
      <c r="B31" s="211">
        <v>530011</v>
      </c>
      <c r="C31" s="50" t="s">
        <v>165</v>
      </c>
      <c r="D31" s="127" t="s">
        <v>173</v>
      </c>
      <c r="E31" s="128">
        <f>SUM(E32:E33)</f>
        <v>2</v>
      </c>
      <c r="F31" s="129">
        <f t="shared" ref="F31:H31" si="2">SUM(F32:F33)</f>
        <v>313673.98000000045</v>
      </c>
      <c r="G31" s="128">
        <f t="shared" si="2"/>
        <v>1</v>
      </c>
      <c r="H31" s="129">
        <f t="shared" si="2"/>
        <v>67318.399999999907</v>
      </c>
      <c r="J31" s="19"/>
      <c r="K31" s="19"/>
    </row>
    <row r="32" spans="1:11" s="20" customFormat="1">
      <c r="A32" s="524"/>
      <c r="B32" s="112">
        <v>530011</v>
      </c>
      <c r="C32" s="83">
        <v>56</v>
      </c>
      <c r="D32" s="65" t="s">
        <v>14</v>
      </c>
      <c r="E32" s="51">
        <v>2</v>
      </c>
      <c r="F32" s="130">
        <v>313673.98000000045</v>
      </c>
      <c r="G32" s="51">
        <v>2</v>
      </c>
      <c r="H32" s="130">
        <v>313673.98</v>
      </c>
      <c r="J32" s="19"/>
      <c r="K32" s="19"/>
    </row>
    <row r="33" spans="1:11" s="20" customFormat="1">
      <c r="A33" s="525"/>
      <c r="B33" s="213">
        <v>530011</v>
      </c>
      <c r="C33" s="83">
        <v>59</v>
      </c>
      <c r="D33" s="65" t="s">
        <v>14</v>
      </c>
      <c r="E33" s="51">
        <v>0</v>
      </c>
      <c r="F33" s="130">
        <v>0</v>
      </c>
      <c r="G33" s="51">
        <v>-1</v>
      </c>
      <c r="H33" s="130">
        <v>-246355.58000000007</v>
      </c>
      <c r="J33" s="19"/>
      <c r="K33" s="19"/>
    </row>
    <row r="34" spans="1:11" s="20" customFormat="1" ht="37.5">
      <c r="A34" s="23">
        <v>4</v>
      </c>
      <c r="B34" s="326">
        <v>530017</v>
      </c>
      <c r="C34" s="356" t="s">
        <v>165</v>
      </c>
      <c r="D34" s="364" t="s">
        <v>170</v>
      </c>
      <c r="E34" s="128">
        <f>E35</f>
        <v>0</v>
      </c>
      <c r="F34" s="129">
        <f t="shared" ref="F34:H34" si="3">F35</f>
        <v>0</v>
      </c>
      <c r="G34" s="128">
        <f t="shared" si="3"/>
        <v>1</v>
      </c>
      <c r="H34" s="129">
        <f t="shared" si="3"/>
        <v>291184.73000000045</v>
      </c>
      <c r="J34" s="19"/>
      <c r="K34" s="19"/>
    </row>
    <row r="35" spans="1:11" s="20" customFormat="1">
      <c r="A35" s="363"/>
      <c r="B35" s="327">
        <v>530017</v>
      </c>
      <c r="C35" s="365">
        <v>16</v>
      </c>
      <c r="D35" s="366" t="s">
        <v>38</v>
      </c>
      <c r="E35" s="51">
        <v>0</v>
      </c>
      <c r="F35" s="130">
        <v>0</v>
      </c>
      <c r="G35" s="51">
        <v>1</v>
      </c>
      <c r="H35" s="130">
        <v>291184.73000000045</v>
      </c>
      <c r="J35" s="19"/>
      <c r="K35" s="19"/>
    </row>
    <row r="36" spans="1:11">
      <c r="A36" s="23">
        <v>5</v>
      </c>
      <c r="B36" s="114">
        <v>530050</v>
      </c>
      <c r="C36" s="50" t="s">
        <v>165</v>
      </c>
      <c r="D36" s="127" t="s">
        <v>182</v>
      </c>
      <c r="E36" s="128">
        <f>SUM(E37:E39)</f>
        <v>55</v>
      </c>
      <c r="F36" s="129">
        <f t="shared" ref="F36:H36" si="4">SUM(F37:F39)</f>
        <v>10930092.650000006</v>
      </c>
      <c r="G36" s="128">
        <f t="shared" si="4"/>
        <v>47</v>
      </c>
      <c r="H36" s="129">
        <f t="shared" si="4"/>
        <v>9332694.2800000068</v>
      </c>
    </row>
    <row r="37" spans="1:11">
      <c r="A37" s="524"/>
      <c r="B37" s="212">
        <v>530050</v>
      </c>
      <c r="C37" s="107">
        <v>18</v>
      </c>
      <c r="D37" s="65" t="s">
        <v>24</v>
      </c>
      <c r="E37" s="51">
        <v>15</v>
      </c>
      <c r="F37" s="130">
        <v>3319161.450000003</v>
      </c>
      <c r="G37" s="51">
        <v>16</v>
      </c>
      <c r="H37" s="130">
        <v>3540438.8800000073</v>
      </c>
    </row>
    <row r="38" spans="1:11">
      <c r="A38" s="526"/>
      <c r="B38" s="212">
        <v>530050</v>
      </c>
      <c r="C38" s="107">
        <v>22</v>
      </c>
      <c r="D38" s="65" t="s">
        <v>24</v>
      </c>
      <c r="E38" s="51">
        <v>0</v>
      </c>
      <c r="F38" s="130">
        <v>0</v>
      </c>
      <c r="G38" s="51">
        <v>1</v>
      </c>
      <c r="H38" s="130">
        <v>84057</v>
      </c>
    </row>
    <row r="39" spans="1:11">
      <c r="A39" s="526"/>
      <c r="B39" s="212">
        <v>530050</v>
      </c>
      <c r="C39" s="83">
        <v>23</v>
      </c>
      <c r="D39" s="65" t="s">
        <v>24</v>
      </c>
      <c r="E39" s="51">
        <v>40</v>
      </c>
      <c r="F39" s="130">
        <v>7610931.200000003</v>
      </c>
      <c r="G39" s="51">
        <v>30</v>
      </c>
      <c r="H39" s="130">
        <v>5708198.3999999994</v>
      </c>
    </row>
    <row r="40" spans="1:11" ht="18.75" customHeight="1">
      <c r="A40" s="517" t="s">
        <v>43</v>
      </c>
      <c r="B40" s="518"/>
      <c r="C40" s="518"/>
      <c r="D40" s="519"/>
      <c r="E40" s="77">
        <f>E12+E28+E31+E36+E34</f>
        <v>52</v>
      </c>
      <c r="F40" s="256">
        <f t="shared" ref="F40:H40" si="5">F12+F28+F31+F36+F34</f>
        <v>10629620.55000001</v>
      </c>
      <c r="G40" s="77">
        <f t="shared" si="5"/>
        <v>36</v>
      </c>
      <c r="H40" s="256">
        <f t="shared" si="5"/>
        <v>6811164.0500000063</v>
      </c>
    </row>
    <row r="43" spans="1:11">
      <c r="G43" s="367"/>
    </row>
    <row r="52" spans="4:4">
      <c r="D52" s="108"/>
    </row>
  </sheetData>
  <mergeCells count="14">
    <mergeCell ref="F3:H3"/>
    <mergeCell ref="G9:H9"/>
    <mergeCell ref="A7:H7"/>
    <mergeCell ref="A40:D40"/>
    <mergeCell ref="A5:F5"/>
    <mergeCell ref="A9:A10"/>
    <mergeCell ref="B9:B10"/>
    <mergeCell ref="C9:C10"/>
    <mergeCell ref="D9:D10"/>
    <mergeCell ref="A13:A27"/>
    <mergeCell ref="E9:F9"/>
    <mergeCell ref="A29:A30"/>
    <mergeCell ref="A32:A33"/>
    <mergeCell ref="A37:A39"/>
  </mergeCells>
  <pageMargins left="0.78740157480314965" right="0.39370078740157483" top="0.59055118110236227" bottom="0.39370078740157483" header="0.31496062992125984" footer="0.31496062992125984"/>
  <pageSetup paperSize="9" scale="5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</sheetPr>
  <dimension ref="A1:K14"/>
  <sheetViews>
    <sheetView zoomScale="80" zoomScaleNormal="80" workbookViewId="0">
      <pane xSplit="4" ySplit="11" topLeftCell="E12" activePane="bottomRight" state="frozen"/>
      <selection activeCell="J45" sqref="J45"/>
      <selection pane="topRight" activeCell="J45" sqref="J45"/>
      <selection pane="bottomLeft" activeCell="J45" sqref="J45"/>
      <selection pane="bottomRight" activeCell="L37" sqref="L37"/>
    </sheetView>
  </sheetViews>
  <sheetFormatPr defaultRowHeight="21" customHeight="1"/>
  <cols>
    <col min="1" max="1" width="6.85546875" style="28" customWidth="1"/>
    <col min="2" max="2" width="10.140625" style="11" customWidth="1"/>
    <col min="3" max="3" width="11.140625" style="11" customWidth="1"/>
    <col min="4" max="4" width="49.28515625" style="11" customWidth="1"/>
    <col min="5" max="5" width="17" style="15" customWidth="1"/>
    <col min="6" max="6" width="20.140625" style="15" customWidth="1"/>
    <col min="7" max="7" width="17.42578125" style="11" customWidth="1"/>
    <col min="8" max="8" width="16.28515625" style="11" customWidth="1"/>
    <col min="9" max="10" width="9.140625" style="11"/>
    <col min="11" max="11" width="14" style="11" bestFit="1" customWidth="1"/>
    <col min="12" max="16384" width="9.140625" style="11"/>
  </cols>
  <sheetData>
    <row r="1" spans="1:11" ht="21" customHeight="1">
      <c r="A1" s="159"/>
      <c r="B1" s="18"/>
      <c r="C1" s="18"/>
      <c r="D1" s="18"/>
      <c r="E1" s="120"/>
      <c r="F1" s="32"/>
      <c r="G1" s="32"/>
      <c r="H1" s="125" t="s">
        <v>223</v>
      </c>
    </row>
    <row r="2" spans="1:11" ht="21" customHeight="1">
      <c r="A2" s="159"/>
      <c r="B2" s="18"/>
      <c r="C2" s="18"/>
      <c r="D2" s="18"/>
      <c r="F2" s="32"/>
      <c r="G2" s="32"/>
      <c r="H2" s="31" t="s">
        <v>157</v>
      </c>
    </row>
    <row r="3" spans="1:11" ht="21" customHeight="1">
      <c r="A3" s="159"/>
      <c r="B3" s="18"/>
      <c r="C3" s="18"/>
      <c r="D3" s="18"/>
      <c r="E3" s="120"/>
      <c r="F3" s="32"/>
      <c r="G3" s="32"/>
      <c r="H3" s="125" t="s">
        <v>238</v>
      </c>
    </row>
    <row r="4" spans="1:11" ht="18.75">
      <c r="A4" s="159"/>
      <c r="B4" s="24"/>
      <c r="C4" s="24"/>
      <c r="D4" s="25"/>
      <c r="E4" s="25"/>
      <c r="F4" s="25"/>
    </row>
    <row r="5" spans="1:11" ht="57" hidden="1" customHeight="1">
      <c r="A5" s="505" t="s">
        <v>147</v>
      </c>
      <c r="B5" s="505"/>
      <c r="C5" s="505"/>
      <c r="D5" s="505"/>
      <c r="E5" s="505"/>
      <c r="F5" s="505"/>
    </row>
    <row r="6" spans="1:11" ht="11.25" hidden="1" customHeight="1">
      <c r="A6" s="158"/>
      <c r="B6" s="158"/>
      <c r="C6" s="157"/>
      <c r="D6" s="157"/>
      <c r="E6" s="157"/>
      <c r="F6" s="157"/>
    </row>
    <row r="7" spans="1:11" ht="19.5" customHeight="1">
      <c r="A7" s="506" t="s">
        <v>250</v>
      </c>
      <c r="B7" s="506"/>
      <c r="C7" s="506"/>
      <c r="D7" s="506"/>
      <c r="E7" s="506"/>
      <c r="F7" s="506"/>
      <c r="G7" s="506"/>
      <c r="H7" s="506"/>
    </row>
    <row r="8" spans="1:11" ht="14.25" customHeight="1"/>
    <row r="9" spans="1:11" ht="37.5" customHeight="1">
      <c r="A9" s="507" t="s">
        <v>35</v>
      </c>
      <c r="B9" s="507" t="s">
        <v>1</v>
      </c>
      <c r="C9" s="507" t="s">
        <v>2</v>
      </c>
      <c r="D9" s="507" t="s">
        <v>145</v>
      </c>
      <c r="E9" s="460" t="s">
        <v>163</v>
      </c>
      <c r="F9" s="461"/>
      <c r="G9" s="462" t="s">
        <v>164</v>
      </c>
      <c r="H9" s="463"/>
    </row>
    <row r="10" spans="1:11" ht="62.25" customHeight="1">
      <c r="A10" s="508"/>
      <c r="B10" s="508"/>
      <c r="C10" s="508"/>
      <c r="D10" s="508"/>
      <c r="E10" s="236" t="s">
        <v>3</v>
      </c>
      <c r="F10" s="236" t="s">
        <v>37</v>
      </c>
      <c r="G10" s="237" t="s">
        <v>3</v>
      </c>
      <c r="H10" s="237" t="s">
        <v>37</v>
      </c>
    </row>
    <row r="11" spans="1:11" ht="21" customHeight="1">
      <c r="A11" s="72">
        <v>1</v>
      </c>
      <c r="B11" s="72">
        <v>2</v>
      </c>
      <c r="C11" s="72">
        <v>3</v>
      </c>
      <c r="D11" s="161">
        <v>4</v>
      </c>
      <c r="E11" s="27">
        <v>5</v>
      </c>
      <c r="F11" s="27">
        <v>6</v>
      </c>
      <c r="G11" s="27">
        <v>7</v>
      </c>
      <c r="H11" s="27">
        <v>8</v>
      </c>
    </row>
    <row r="12" spans="1:11" ht="21" customHeight="1">
      <c r="A12" s="147">
        <v>1</v>
      </c>
      <c r="B12" s="114">
        <v>530198</v>
      </c>
      <c r="C12" s="50" t="s">
        <v>165</v>
      </c>
      <c r="D12" s="127" t="s">
        <v>30</v>
      </c>
      <c r="E12" s="128">
        <f>E13</f>
        <v>0</v>
      </c>
      <c r="F12" s="129">
        <f t="shared" ref="F12:H12" si="0">F13</f>
        <v>-668839.47</v>
      </c>
      <c r="G12" s="128">
        <f t="shared" si="0"/>
        <v>0</v>
      </c>
      <c r="H12" s="129">
        <f t="shared" si="0"/>
        <v>0</v>
      </c>
    </row>
    <row r="13" spans="1:11" ht="21" customHeight="1">
      <c r="A13" s="273"/>
      <c r="B13" s="116">
        <f>B12</f>
        <v>530198</v>
      </c>
      <c r="C13" s="83">
        <v>158</v>
      </c>
      <c r="D13" s="65" t="s">
        <v>216</v>
      </c>
      <c r="E13" s="51">
        <v>0</v>
      </c>
      <c r="F13" s="130">
        <v>-668839.47</v>
      </c>
      <c r="G13" s="51">
        <v>0</v>
      </c>
      <c r="H13" s="130">
        <v>0</v>
      </c>
      <c r="K13" s="249"/>
    </row>
    <row r="14" spans="1:11" ht="21" customHeight="1">
      <c r="A14" s="527" t="s">
        <v>203</v>
      </c>
      <c r="B14" s="528"/>
      <c r="C14" s="528"/>
      <c r="D14" s="529"/>
      <c r="E14" s="142">
        <f>E12</f>
        <v>0</v>
      </c>
      <c r="F14" s="145">
        <f t="shared" ref="F14:H14" si="1">F12</f>
        <v>-668839.47</v>
      </c>
      <c r="G14" s="142">
        <f t="shared" si="1"/>
        <v>0</v>
      </c>
      <c r="H14" s="145">
        <f t="shared" si="1"/>
        <v>0</v>
      </c>
    </row>
  </sheetData>
  <mergeCells count="9">
    <mergeCell ref="A14:D14"/>
    <mergeCell ref="A5:F5"/>
    <mergeCell ref="A7:H7"/>
    <mergeCell ref="A9:A10"/>
    <mergeCell ref="B9:B10"/>
    <mergeCell ref="C9:C10"/>
    <mergeCell ref="D9:D10"/>
    <mergeCell ref="E9:F9"/>
    <mergeCell ref="G9:H9"/>
  </mergeCells>
  <pageMargins left="0.78740157480314965" right="0.39370078740157483" top="0.39370078740157483" bottom="0.39370078740157483" header="0.31496062992125984" footer="0.31496062992125984"/>
  <pageSetup paperSize="9" scale="60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  <pageSetUpPr fitToPage="1"/>
  </sheetPr>
  <dimension ref="A1:T121"/>
  <sheetViews>
    <sheetView tabSelected="1" zoomScale="80" zoomScaleNormal="80" zoomScaleSheetLayoutView="75" workbookViewId="0">
      <pane xSplit="4" ySplit="9" topLeftCell="E107" activePane="bottomRight" state="frozen"/>
      <selection pane="topRight" activeCell="E1" sqref="E1"/>
      <selection pane="bottomLeft" activeCell="A10" sqref="A10"/>
      <selection pane="bottomRight" activeCell="H116" sqref="H116"/>
    </sheetView>
  </sheetViews>
  <sheetFormatPr defaultRowHeight="18.75"/>
  <cols>
    <col min="1" max="1" width="7.5703125" style="12" customWidth="1"/>
    <col min="2" max="2" width="10.140625" style="221" customWidth="1"/>
    <col min="3" max="3" width="11.140625" style="13" customWidth="1"/>
    <col min="4" max="4" width="47.85546875" style="4" customWidth="1"/>
    <col min="5" max="5" width="19.42578125" style="12" customWidth="1"/>
    <col min="6" max="6" width="22.7109375" style="252" customWidth="1"/>
    <col min="7" max="7" width="20.28515625" style="4" customWidth="1"/>
    <col min="8" max="8" width="20.7109375" style="152" customWidth="1"/>
    <col min="9" max="9" width="9.140625" style="4"/>
    <col min="10" max="10" width="18.42578125" style="258" customWidth="1"/>
    <col min="11" max="11" width="12.140625" style="4" customWidth="1"/>
    <col min="12" max="14" width="9.140625" style="4"/>
    <col min="15" max="15" width="16.28515625" style="258" customWidth="1"/>
    <col min="16" max="16" width="16" style="4" customWidth="1"/>
    <col min="17" max="17" width="16.42578125" style="258" customWidth="1"/>
    <col min="18" max="18" width="16.85546875" style="4" customWidth="1"/>
    <col min="19" max="19" width="9.140625" style="4"/>
    <col min="20" max="20" width="19" style="4" customWidth="1"/>
    <col min="21" max="16384" width="9.140625" style="4"/>
  </cols>
  <sheetData>
    <row r="1" spans="1:8">
      <c r="A1" s="1"/>
      <c r="B1" s="2"/>
      <c r="C1" s="1"/>
      <c r="D1" s="3"/>
      <c r="E1" s="120"/>
      <c r="F1" s="226"/>
      <c r="G1" s="32"/>
      <c r="H1" s="125" t="s">
        <v>235</v>
      </c>
    </row>
    <row r="2" spans="1:8">
      <c r="A2" s="1"/>
      <c r="B2" s="2"/>
      <c r="C2" s="1"/>
      <c r="D2" s="3"/>
      <c r="E2" s="1"/>
      <c r="F2" s="226"/>
      <c r="G2" s="32"/>
      <c r="H2" s="31" t="s">
        <v>157</v>
      </c>
    </row>
    <row r="3" spans="1:8">
      <c r="A3" s="1"/>
      <c r="B3" s="2"/>
      <c r="C3" s="1"/>
      <c r="D3" s="3"/>
      <c r="E3" s="120"/>
      <c r="F3" s="226"/>
      <c r="G3" s="32"/>
      <c r="H3" s="125" t="s">
        <v>237</v>
      </c>
    </row>
    <row r="4" spans="1:8">
      <c r="A4" s="1"/>
      <c r="B4" s="2"/>
      <c r="C4" s="1"/>
      <c r="D4" s="5"/>
      <c r="E4" s="6"/>
      <c r="F4" s="277"/>
    </row>
    <row r="5" spans="1:8" ht="18.75" customHeight="1">
      <c r="A5" s="506" t="s">
        <v>160</v>
      </c>
      <c r="B5" s="506"/>
      <c r="C5" s="506"/>
      <c r="D5" s="506"/>
      <c r="E5" s="506"/>
      <c r="F5" s="506"/>
      <c r="G5" s="506"/>
      <c r="H5" s="506"/>
    </row>
    <row r="6" spans="1:8" ht="18" customHeight="1">
      <c r="A6" s="158"/>
      <c r="B6" s="158"/>
      <c r="C6" s="70"/>
      <c r="D6" s="70"/>
      <c r="E6" s="70"/>
      <c r="F6" s="251"/>
    </row>
    <row r="7" spans="1:8" ht="44.25" customHeight="1">
      <c r="A7" s="530" t="s">
        <v>0</v>
      </c>
      <c r="B7" s="530" t="s">
        <v>1</v>
      </c>
      <c r="C7" s="530" t="s">
        <v>2</v>
      </c>
      <c r="D7" s="530" t="s">
        <v>145</v>
      </c>
      <c r="E7" s="460" t="s">
        <v>163</v>
      </c>
      <c r="F7" s="461"/>
      <c r="G7" s="462" t="s">
        <v>164</v>
      </c>
      <c r="H7" s="463"/>
    </row>
    <row r="8" spans="1:8" ht="55.5" customHeight="1">
      <c r="A8" s="531"/>
      <c r="B8" s="531"/>
      <c r="C8" s="531"/>
      <c r="D8" s="531"/>
      <c r="E8" s="278" t="s">
        <v>3</v>
      </c>
      <c r="F8" s="228" t="s">
        <v>37</v>
      </c>
      <c r="G8" s="281" t="s">
        <v>3</v>
      </c>
      <c r="H8" s="153" t="s">
        <v>37</v>
      </c>
    </row>
    <row r="9" spans="1:8" ht="19.5" customHeight="1">
      <c r="A9" s="7">
        <v>1</v>
      </c>
      <c r="B9" s="8">
        <v>2</v>
      </c>
      <c r="C9" s="8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</row>
    <row r="10" spans="1:8">
      <c r="A10" s="114">
        <v>1</v>
      </c>
      <c r="B10" s="210">
        <v>530001</v>
      </c>
      <c r="C10" s="50" t="s">
        <v>165</v>
      </c>
      <c r="D10" s="127" t="s">
        <v>166</v>
      </c>
      <c r="E10" s="128">
        <f>SUM(E11:E14)</f>
        <v>0</v>
      </c>
      <c r="F10" s="129">
        <f>SUM(F11:F14)</f>
        <v>2458853.0299999956</v>
      </c>
      <c r="G10" s="128">
        <f>SUM(G11:G14)</f>
        <v>0</v>
      </c>
      <c r="H10" s="129">
        <f>SUM(H11:H14)</f>
        <v>2458853.0300000003</v>
      </c>
    </row>
    <row r="11" spans="1:8">
      <c r="A11" s="532"/>
      <c r="B11" s="112">
        <v>530001</v>
      </c>
      <c r="C11" s="107" t="s">
        <v>50</v>
      </c>
      <c r="D11" s="65" t="s">
        <v>5</v>
      </c>
      <c r="E11" s="51">
        <v>0</v>
      </c>
      <c r="F11" s="130">
        <v>-1963.1999999992549</v>
      </c>
      <c r="G11" s="51">
        <v>0</v>
      </c>
      <c r="H11" s="130">
        <v>-1963.2</v>
      </c>
    </row>
    <row r="12" spans="1:8">
      <c r="A12" s="533"/>
      <c r="B12" s="212">
        <v>530001</v>
      </c>
      <c r="C12" s="107" t="s">
        <v>52</v>
      </c>
      <c r="D12" s="65" t="s">
        <v>6</v>
      </c>
      <c r="E12" s="51">
        <v>3</v>
      </c>
      <c r="F12" s="130">
        <v>66833.099999997765</v>
      </c>
      <c r="G12" s="51">
        <v>3</v>
      </c>
      <c r="H12" s="130">
        <v>66833.100000000006</v>
      </c>
    </row>
    <row r="13" spans="1:8">
      <c r="A13" s="533"/>
      <c r="B13" s="212">
        <v>530001</v>
      </c>
      <c r="C13" s="107" t="s">
        <v>59</v>
      </c>
      <c r="D13" s="65" t="s">
        <v>7</v>
      </c>
      <c r="E13" s="51">
        <v>-2</v>
      </c>
      <c r="F13" s="130">
        <v>-71104.450000001118</v>
      </c>
      <c r="G13" s="51">
        <v>-2</v>
      </c>
      <c r="H13" s="130">
        <v>-71104.45</v>
      </c>
    </row>
    <row r="14" spans="1:8">
      <c r="A14" s="533"/>
      <c r="B14" s="213">
        <v>530001</v>
      </c>
      <c r="C14" s="107" t="s">
        <v>60</v>
      </c>
      <c r="D14" s="65" t="s">
        <v>8</v>
      </c>
      <c r="E14" s="51">
        <v>-1</v>
      </c>
      <c r="F14" s="130">
        <v>2465087.5799999982</v>
      </c>
      <c r="G14" s="51">
        <v>-1</v>
      </c>
      <c r="H14" s="130">
        <v>2465087.58</v>
      </c>
    </row>
    <row r="15" spans="1:8">
      <c r="A15" s="114">
        <v>2</v>
      </c>
      <c r="B15" s="214">
        <v>530002</v>
      </c>
      <c r="C15" s="50" t="s">
        <v>165</v>
      </c>
      <c r="D15" s="127" t="s">
        <v>169</v>
      </c>
      <c r="E15" s="128">
        <f>SUM(E16:E21)</f>
        <v>55</v>
      </c>
      <c r="F15" s="129">
        <f t="shared" ref="F15" si="0">SUM(F16:F21)</f>
        <v>762932.87999999966</v>
      </c>
      <c r="G15" s="128">
        <f>SUM(G16:G21)</f>
        <v>53</v>
      </c>
      <c r="H15" s="129">
        <f>SUM(H16:H21)</f>
        <v>762932.87999999989</v>
      </c>
    </row>
    <row r="16" spans="1:8">
      <c r="A16" s="532"/>
      <c r="B16" s="112">
        <v>530002</v>
      </c>
      <c r="C16" s="107" t="s">
        <v>48</v>
      </c>
      <c r="D16" s="65" t="s">
        <v>9</v>
      </c>
      <c r="E16" s="51">
        <v>17</v>
      </c>
      <c r="F16" s="130">
        <v>161831.32999999996</v>
      </c>
      <c r="G16" s="51">
        <f>17-2</f>
        <v>15</v>
      </c>
      <c r="H16" s="130">
        <f>161831.33+37986.93</f>
        <v>199818.25999999998</v>
      </c>
    </row>
    <row r="17" spans="1:8">
      <c r="A17" s="533"/>
      <c r="B17" s="212">
        <v>530002</v>
      </c>
      <c r="C17" s="107">
        <v>17</v>
      </c>
      <c r="D17" s="65" t="s">
        <v>10</v>
      </c>
      <c r="E17" s="51">
        <v>4</v>
      </c>
      <c r="F17" s="130">
        <v>46243.489999999991</v>
      </c>
      <c r="G17" s="51">
        <f>4+1</f>
        <v>5</v>
      </c>
      <c r="H17" s="130">
        <f>46243.49+50798.81</f>
        <v>97042.299999999988</v>
      </c>
    </row>
    <row r="18" spans="1:8">
      <c r="A18" s="533"/>
      <c r="B18" s="212">
        <v>530002</v>
      </c>
      <c r="C18" s="107" t="s">
        <v>72</v>
      </c>
      <c r="D18" s="65" t="s">
        <v>11</v>
      </c>
      <c r="E18" s="51">
        <v>6</v>
      </c>
      <c r="F18" s="130">
        <v>105092.59999999998</v>
      </c>
      <c r="G18" s="51">
        <v>6</v>
      </c>
      <c r="H18" s="130">
        <f>105092.6-1573.97</f>
        <v>103518.63</v>
      </c>
    </row>
    <row r="19" spans="1:8">
      <c r="A19" s="533"/>
      <c r="B19" s="212">
        <v>530002</v>
      </c>
      <c r="C19" s="107" t="s">
        <v>54</v>
      </c>
      <c r="D19" s="65" t="s">
        <v>12</v>
      </c>
      <c r="E19" s="51">
        <v>16</v>
      </c>
      <c r="F19" s="130">
        <v>179814.83999999985</v>
      </c>
      <c r="G19" s="51">
        <v>16</v>
      </c>
      <c r="H19" s="130">
        <f>179814.84-5567.23</f>
        <v>174247.61</v>
      </c>
    </row>
    <row r="20" spans="1:8">
      <c r="A20" s="533"/>
      <c r="B20" s="212">
        <v>530002</v>
      </c>
      <c r="C20" s="107" t="s">
        <v>73</v>
      </c>
      <c r="D20" s="65" t="s">
        <v>13</v>
      </c>
      <c r="E20" s="51">
        <v>8</v>
      </c>
      <c r="F20" s="130">
        <v>244573.41999999993</v>
      </c>
      <c r="G20" s="51">
        <v>8</v>
      </c>
      <c r="H20" s="130">
        <f>244573.42-32419.7</f>
        <v>212153.72</v>
      </c>
    </row>
    <row r="21" spans="1:8">
      <c r="A21" s="533"/>
      <c r="B21" s="213">
        <v>530002</v>
      </c>
      <c r="C21" s="107" t="s">
        <v>62</v>
      </c>
      <c r="D21" s="65" t="s">
        <v>14</v>
      </c>
      <c r="E21" s="51">
        <v>4</v>
      </c>
      <c r="F21" s="130">
        <v>25377.199999999953</v>
      </c>
      <c r="G21" s="51">
        <f>4-1</f>
        <v>3</v>
      </c>
      <c r="H21" s="130">
        <f>25377.2-49224.84</f>
        <v>-23847.639999999996</v>
      </c>
    </row>
    <row r="22" spans="1:8">
      <c r="A22" s="114">
        <v>3</v>
      </c>
      <c r="B22" s="114">
        <v>530011</v>
      </c>
      <c r="C22" s="50" t="s">
        <v>165</v>
      </c>
      <c r="D22" s="127" t="s">
        <v>173</v>
      </c>
      <c r="E22" s="128">
        <f>SUM(E23:E29)</f>
        <v>0</v>
      </c>
      <c r="F22" s="129">
        <f t="shared" ref="F22" si="1">SUM(F23:F29)</f>
        <v>9.3132257461547852E-10</v>
      </c>
      <c r="G22" s="128">
        <f>SUM(G23:G29)</f>
        <v>-53</v>
      </c>
      <c r="H22" s="129">
        <f>SUM(H23:H29)</f>
        <v>-70616.660000000076</v>
      </c>
    </row>
    <row r="23" spans="1:8">
      <c r="A23" s="444"/>
      <c r="B23" s="212">
        <v>530011</v>
      </c>
      <c r="C23" s="107" t="s">
        <v>52</v>
      </c>
      <c r="D23" s="65" t="s">
        <v>6</v>
      </c>
      <c r="E23" s="51">
        <v>0</v>
      </c>
      <c r="F23" s="130">
        <v>0</v>
      </c>
      <c r="G23" s="51">
        <v>-16</v>
      </c>
      <c r="H23" s="130">
        <v>-96036.24</v>
      </c>
    </row>
    <row r="24" spans="1:8">
      <c r="A24" s="445"/>
      <c r="B24" s="212">
        <v>530011</v>
      </c>
      <c r="C24" s="107" t="s">
        <v>54</v>
      </c>
      <c r="D24" s="65" t="s">
        <v>12</v>
      </c>
      <c r="E24" s="51">
        <v>0</v>
      </c>
      <c r="F24" s="130">
        <v>0</v>
      </c>
      <c r="G24" s="51">
        <v>14</v>
      </c>
      <c r="H24" s="130">
        <v>72402.44</v>
      </c>
    </row>
    <row r="25" spans="1:8" ht="37.5">
      <c r="A25" s="445"/>
      <c r="B25" s="212">
        <v>530011</v>
      </c>
      <c r="C25" s="107" t="s">
        <v>91</v>
      </c>
      <c r="D25" s="65" t="s">
        <v>15</v>
      </c>
      <c r="E25" s="51">
        <v>0</v>
      </c>
      <c r="F25" s="130">
        <v>0</v>
      </c>
      <c r="G25" s="51">
        <v>-1</v>
      </c>
      <c r="H25" s="130">
        <v>0</v>
      </c>
    </row>
    <row r="26" spans="1:8">
      <c r="A26" s="445"/>
      <c r="B26" s="212">
        <v>530011</v>
      </c>
      <c r="C26" s="107" t="s">
        <v>61</v>
      </c>
      <c r="D26" s="65" t="s">
        <v>16</v>
      </c>
      <c r="E26" s="51">
        <v>0</v>
      </c>
      <c r="F26" s="130">
        <v>776573.04000000097</v>
      </c>
      <c r="G26" s="51">
        <v>0</v>
      </c>
      <c r="H26" s="130">
        <v>776573.04</v>
      </c>
    </row>
    <row r="27" spans="1:8">
      <c r="A27" s="445"/>
      <c r="B27" s="212">
        <v>530011</v>
      </c>
      <c r="C27" s="107" t="s">
        <v>62</v>
      </c>
      <c r="D27" s="65" t="s">
        <v>14</v>
      </c>
      <c r="E27" s="51">
        <v>0</v>
      </c>
      <c r="F27" s="130">
        <v>0</v>
      </c>
      <c r="G27" s="51">
        <v>-11</v>
      </c>
      <c r="H27" s="130">
        <v>0</v>
      </c>
    </row>
    <row r="28" spans="1:8">
      <c r="A28" s="445"/>
      <c r="B28" s="212">
        <v>530011</v>
      </c>
      <c r="C28" s="107" t="s">
        <v>64</v>
      </c>
      <c r="D28" s="65" t="s">
        <v>17</v>
      </c>
      <c r="E28" s="51">
        <v>0</v>
      </c>
      <c r="F28" s="130">
        <v>-776573.04</v>
      </c>
      <c r="G28" s="51">
        <v>-39</v>
      </c>
      <c r="H28" s="130">
        <f>-776573.04-70616.66</f>
        <v>-847189.70000000007</v>
      </c>
    </row>
    <row r="29" spans="1:8">
      <c r="A29" s="446"/>
      <c r="B29" s="212">
        <v>530011</v>
      </c>
      <c r="C29" s="107" t="s">
        <v>66</v>
      </c>
      <c r="D29" s="65" t="s">
        <v>18</v>
      </c>
      <c r="E29" s="51">
        <v>0</v>
      </c>
      <c r="F29" s="130">
        <v>0</v>
      </c>
      <c r="G29" s="51">
        <v>0</v>
      </c>
      <c r="H29" s="130">
        <v>23633.8</v>
      </c>
    </row>
    <row r="30" spans="1:8" ht="37.5">
      <c r="A30" s="114">
        <v>4</v>
      </c>
      <c r="B30" s="114">
        <v>530017</v>
      </c>
      <c r="C30" s="50" t="s">
        <v>165</v>
      </c>
      <c r="D30" s="127" t="s">
        <v>170</v>
      </c>
      <c r="E30" s="128">
        <f>E31</f>
        <v>0</v>
      </c>
      <c r="F30" s="129">
        <f t="shared" ref="F30:H30" si="2">F31</f>
        <v>0</v>
      </c>
      <c r="G30" s="128">
        <f t="shared" si="2"/>
        <v>-32</v>
      </c>
      <c r="H30" s="129">
        <f t="shared" si="2"/>
        <v>-246508.93</v>
      </c>
    </row>
    <row r="31" spans="1:8">
      <c r="A31" s="285"/>
      <c r="B31" s="113">
        <v>530017</v>
      </c>
      <c r="C31" s="83" t="s">
        <v>66</v>
      </c>
      <c r="D31" s="65" t="s">
        <v>18</v>
      </c>
      <c r="E31" s="51">
        <v>0</v>
      </c>
      <c r="F31" s="130">
        <v>0</v>
      </c>
      <c r="G31" s="51">
        <v>-32</v>
      </c>
      <c r="H31" s="130">
        <v>-246508.93</v>
      </c>
    </row>
    <row r="32" spans="1:8">
      <c r="A32" s="114">
        <v>5</v>
      </c>
      <c r="B32" s="210">
        <v>530023</v>
      </c>
      <c r="C32" s="50"/>
      <c r="D32" s="127" t="s">
        <v>197</v>
      </c>
      <c r="E32" s="128">
        <f>SUM(E33:E34)</f>
        <v>0</v>
      </c>
      <c r="F32" s="129">
        <f t="shared" ref="F32:H32" si="3">SUM(F33:F34)</f>
        <v>0</v>
      </c>
      <c r="G32" s="128">
        <f t="shared" si="3"/>
        <v>5</v>
      </c>
      <c r="H32" s="129">
        <f t="shared" si="3"/>
        <v>70616.66</v>
      </c>
    </row>
    <row r="33" spans="1:18">
      <c r="A33" s="535"/>
      <c r="B33" s="112">
        <v>530023</v>
      </c>
      <c r="C33" s="107" t="s">
        <v>61</v>
      </c>
      <c r="D33" s="65" t="s">
        <v>16</v>
      </c>
      <c r="E33" s="51">
        <v>0</v>
      </c>
      <c r="F33" s="130">
        <v>0</v>
      </c>
      <c r="G33" s="51">
        <v>5</v>
      </c>
      <c r="H33" s="130">
        <v>56397.31</v>
      </c>
    </row>
    <row r="34" spans="1:18">
      <c r="A34" s="536"/>
      <c r="B34" s="213">
        <v>530023</v>
      </c>
      <c r="C34" s="107" t="s">
        <v>64</v>
      </c>
      <c r="D34" s="65" t="s">
        <v>17</v>
      </c>
      <c r="E34" s="51">
        <v>0</v>
      </c>
      <c r="F34" s="130">
        <v>0</v>
      </c>
      <c r="G34" s="51">
        <v>0</v>
      </c>
      <c r="H34" s="130">
        <v>14219.35</v>
      </c>
    </row>
    <row r="35" spans="1:18">
      <c r="A35" s="114">
        <v>6</v>
      </c>
      <c r="B35" s="114">
        <v>530024</v>
      </c>
      <c r="C35" s="50"/>
      <c r="D35" s="127" t="s">
        <v>175</v>
      </c>
      <c r="E35" s="128">
        <f>E36</f>
        <v>0</v>
      </c>
      <c r="F35" s="129">
        <f t="shared" ref="F35:H35" si="4">F36</f>
        <v>0</v>
      </c>
      <c r="G35" s="128">
        <f t="shared" si="4"/>
        <v>0</v>
      </c>
      <c r="H35" s="129">
        <f t="shared" si="4"/>
        <v>19698.43</v>
      </c>
    </row>
    <row r="36" spans="1:18">
      <c r="A36" s="295"/>
      <c r="B36" s="212">
        <v>530024</v>
      </c>
      <c r="C36" s="107" t="s">
        <v>61</v>
      </c>
      <c r="D36" s="65" t="s">
        <v>16</v>
      </c>
      <c r="E36" s="51">
        <v>0</v>
      </c>
      <c r="F36" s="130">
        <v>0</v>
      </c>
      <c r="G36" s="51">
        <v>0</v>
      </c>
      <c r="H36" s="130">
        <v>19698.43</v>
      </c>
    </row>
    <row r="37" spans="1:18">
      <c r="A37" s="114">
        <v>7</v>
      </c>
      <c r="B37" s="114">
        <v>530026</v>
      </c>
      <c r="C37" s="50" t="s">
        <v>165</v>
      </c>
      <c r="D37" s="127" t="s">
        <v>177</v>
      </c>
      <c r="E37" s="128">
        <f>SUM(E38:E42)</f>
        <v>18</v>
      </c>
      <c r="F37" s="129">
        <f t="shared" ref="F37" si="5">SUM(F38:F42)</f>
        <v>197744.66000000056</v>
      </c>
      <c r="G37" s="128">
        <f>SUM(G38:G42)</f>
        <v>30</v>
      </c>
      <c r="H37" s="129">
        <f>SUM(H38:H42)</f>
        <v>304895.51000000007</v>
      </c>
      <c r="R37" s="258"/>
    </row>
    <row r="38" spans="1:18" ht="37.5">
      <c r="A38" s="532"/>
      <c r="B38" s="112">
        <v>530026</v>
      </c>
      <c r="C38" s="107" t="s">
        <v>91</v>
      </c>
      <c r="D38" s="65" t="s">
        <v>15</v>
      </c>
      <c r="E38" s="51">
        <v>16</v>
      </c>
      <c r="F38" s="130">
        <v>161350.32000000007</v>
      </c>
      <c r="G38" s="51">
        <f>16+8</f>
        <v>24</v>
      </c>
      <c r="H38" s="130">
        <f>161350.32+79424.81</f>
        <v>240775.13</v>
      </c>
      <c r="R38" s="258"/>
    </row>
    <row r="39" spans="1:18">
      <c r="A39" s="533"/>
      <c r="B39" s="212">
        <v>530026</v>
      </c>
      <c r="C39" s="107" t="s">
        <v>73</v>
      </c>
      <c r="D39" s="65" t="s">
        <v>13</v>
      </c>
      <c r="E39" s="51">
        <v>-5</v>
      </c>
      <c r="F39" s="130">
        <v>-38823.15000000014</v>
      </c>
      <c r="G39" s="51">
        <f>-5-3</f>
        <v>-8</v>
      </c>
      <c r="H39" s="130">
        <f>-38823.15-43465.71</f>
        <v>-82288.86</v>
      </c>
      <c r="R39" s="258"/>
    </row>
    <row r="40" spans="1:18">
      <c r="A40" s="533"/>
      <c r="B40" s="212">
        <v>530026</v>
      </c>
      <c r="C40" s="107" t="s">
        <v>61</v>
      </c>
      <c r="D40" s="65" t="s">
        <v>16</v>
      </c>
      <c r="E40" s="51">
        <v>7</v>
      </c>
      <c r="F40" s="130">
        <v>75014.810000000522</v>
      </c>
      <c r="G40" s="51">
        <f>7+1</f>
        <v>8</v>
      </c>
      <c r="H40" s="130">
        <f>75014.81+6295.85</f>
        <v>81310.66</v>
      </c>
      <c r="N40" s="191"/>
      <c r="R40" s="258"/>
    </row>
    <row r="41" spans="1:18">
      <c r="A41" s="533"/>
      <c r="B41" s="212">
        <v>530026</v>
      </c>
      <c r="C41" s="107" t="s">
        <v>64</v>
      </c>
      <c r="D41" s="65" t="s">
        <v>17</v>
      </c>
      <c r="E41" s="51">
        <v>0</v>
      </c>
      <c r="F41" s="130">
        <v>-3298.8999999999069</v>
      </c>
      <c r="G41" s="51">
        <f>7</f>
        <v>7</v>
      </c>
      <c r="H41" s="130">
        <f>-3298.9+74945.08</f>
        <v>71646.180000000008</v>
      </c>
      <c r="R41" s="258"/>
    </row>
    <row r="42" spans="1:18">
      <c r="A42" s="533"/>
      <c r="B42" s="213">
        <v>530026</v>
      </c>
      <c r="C42" s="107" t="s">
        <v>66</v>
      </c>
      <c r="D42" s="65" t="s">
        <v>18</v>
      </c>
      <c r="E42" s="51">
        <v>0</v>
      </c>
      <c r="F42" s="130">
        <v>3501.5800000000017</v>
      </c>
      <c r="G42" s="51">
        <v>-1</v>
      </c>
      <c r="H42" s="130">
        <f>3501.58-10049.18</f>
        <v>-6547.6</v>
      </c>
      <c r="R42" s="258"/>
    </row>
    <row r="43" spans="1:18">
      <c r="A43" s="114">
        <v>8</v>
      </c>
      <c r="B43" s="326">
        <v>530032</v>
      </c>
      <c r="C43" s="319" t="s">
        <v>165</v>
      </c>
      <c r="D43" s="320" t="s">
        <v>260</v>
      </c>
      <c r="E43" s="128">
        <f>E44</f>
        <v>0</v>
      </c>
      <c r="F43" s="129">
        <f t="shared" ref="F43:H43" si="6">F44</f>
        <v>0</v>
      </c>
      <c r="G43" s="128">
        <f t="shared" si="6"/>
        <v>3</v>
      </c>
      <c r="H43" s="129">
        <f t="shared" si="6"/>
        <v>10628.31</v>
      </c>
      <c r="R43" s="258"/>
    </row>
    <row r="44" spans="1:18">
      <c r="A44" s="300"/>
      <c r="B44" s="327">
        <v>530032</v>
      </c>
      <c r="C44" s="322">
        <v>97</v>
      </c>
      <c r="D44" s="324" t="s">
        <v>16</v>
      </c>
      <c r="E44" s="167">
        <v>0</v>
      </c>
      <c r="F44" s="168">
        <v>0</v>
      </c>
      <c r="G44" s="167">
        <v>3</v>
      </c>
      <c r="H44" s="168">
        <v>10628.31</v>
      </c>
      <c r="R44" s="258"/>
    </row>
    <row r="45" spans="1:18">
      <c r="A45" s="114">
        <v>9</v>
      </c>
      <c r="B45" s="114">
        <v>530034</v>
      </c>
      <c r="C45" s="50" t="s">
        <v>165</v>
      </c>
      <c r="D45" s="127" t="s">
        <v>195</v>
      </c>
      <c r="E45" s="128">
        <f>SUM(E46:E48)</f>
        <v>0</v>
      </c>
      <c r="F45" s="129">
        <f t="shared" ref="F45:H45" si="7">SUM(F46:F48)</f>
        <v>0</v>
      </c>
      <c r="G45" s="128">
        <f t="shared" si="7"/>
        <v>57</v>
      </c>
      <c r="H45" s="129">
        <f t="shared" si="7"/>
        <v>639355.56000000006</v>
      </c>
    </row>
    <row r="46" spans="1:18">
      <c r="A46" s="285"/>
      <c r="B46" s="112">
        <v>530034</v>
      </c>
      <c r="C46" s="107" t="s">
        <v>54</v>
      </c>
      <c r="D46" s="65" t="s">
        <v>12</v>
      </c>
      <c r="E46" s="51">
        <v>0</v>
      </c>
      <c r="F46" s="130">
        <v>0</v>
      </c>
      <c r="G46" s="51">
        <v>21</v>
      </c>
      <c r="H46" s="130">
        <v>221263.44</v>
      </c>
    </row>
    <row r="47" spans="1:18">
      <c r="A47" s="285"/>
      <c r="B47" s="212">
        <v>530034</v>
      </c>
      <c r="C47" s="107" t="s">
        <v>73</v>
      </c>
      <c r="D47" s="65" t="s">
        <v>13</v>
      </c>
      <c r="E47" s="51">
        <v>0</v>
      </c>
      <c r="F47" s="130">
        <v>0</v>
      </c>
      <c r="G47" s="51">
        <v>17</v>
      </c>
      <c r="H47" s="130">
        <v>210417.96</v>
      </c>
    </row>
    <row r="48" spans="1:18">
      <c r="A48" s="285"/>
      <c r="B48" s="213">
        <v>530034</v>
      </c>
      <c r="C48" s="107" t="s">
        <v>61</v>
      </c>
      <c r="D48" s="65" t="s">
        <v>16</v>
      </c>
      <c r="E48" s="51">
        <v>0</v>
      </c>
      <c r="F48" s="130">
        <v>0</v>
      </c>
      <c r="G48" s="51">
        <v>19</v>
      </c>
      <c r="H48" s="130">
        <v>207674.16</v>
      </c>
    </row>
    <row r="49" spans="1:18">
      <c r="A49" s="114">
        <v>10</v>
      </c>
      <c r="B49" s="214">
        <v>530037</v>
      </c>
      <c r="C49" s="50" t="s">
        <v>165</v>
      </c>
      <c r="D49" s="127" t="s">
        <v>20</v>
      </c>
      <c r="E49" s="128">
        <f>SUM(E50:E52)</f>
        <v>0</v>
      </c>
      <c r="F49" s="129">
        <f t="shared" ref="F49:H49" si="8">SUM(F50:F52)</f>
        <v>1.1641532182693481E-10</v>
      </c>
      <c r="G49" s="128">
        <f t="shared" si="8"/>
        <v>-6</v>
      </c>
      <c r="H49" s="129">
        <f t="shared" si="8"/>
        <v>-49976.52</v>
      </c>
    </row>
    <row r="50" spans="1:18">
      <c r="A50" s="532"/>
      <c r="B50" s="112">
        <v>530037</v>
      </c>
      <c r="C50" s="107" t="s">
        <v>73</v>
      </c>
      <c r="D50" s="65" t="s">
        <v>13</v>
      </c>
      <c r="E50" s="51">
        <v>11</v>
      </c>
      <c r="F50" s="130">
        <v>114110.35999999999</v>
      </c>
      <c r="G50" s="51">
        <v>1</v>
      </c>
      <c r="H50" s="130">
        <v>36115.64</v>
      </c>
    </row>
    <row r="51" spans="1:18">
      <c r="A51" s="533"/>
      <c r="B51" s="212">
        <v>530037</v>
      </c>
      <c r="C51" s="107" t="s">
        <v>61</v>
      </c>
      <c r="D51" s="65" t="s">
        <v>16</v>
      </c>
      <c r="E51" s="51">
        <v>-11</v>
      </c>
      <c r="F51" s="130">
        <v>-114110.35999999987</v>
      </c>
      <c r="G51" s="51">
        <v>-4</v>
      </c>
      <c r="H51" s="130">
        <v>-53783.22</v>
      </c>
    </row>
    <row r="52" spans="1:18">
      <c r="A52" s="534"/>
      <c r="B52" s="213">
        <v>530037</v>
      </c>
      <c r="C52" s="107" t="s">
        <v>66</v>
      </c>
      <c r="D52" s="65" t="s">
        <v>18</v>
      </c>
      <c r="E52" s="51">
        <v>0</v>
      </c>
      <c r="F52" s="130">
        <v>0</v>
      </c>
      <c r="G52" s="51">
        <v>-3</v>
      </c>
      <c r="H52" s="130">
        <v>-32308.939999999995</v>
      </c>
    </row>
    <row r="53" spans="1:18">
      <c r="A53" s="114">
        <v>11</v>
      </c>
      <c r="B53" s="214">
        <v>530040</v>
      </c>
      <c r="C53" s="50" t="s">
        <v>165</v>
      </c>
      <c r="D53" s="127" t="s">
        <v>198</v>
      </c>
      <c r="E53" s="128">
        <f>SUM(E54:E59)</f>
        <v>0</v>
      </c>
      <c r="F53" s="129">
        <f>SUM(F54:F59)</f>
        <v>0</v>
      </c>
      <c r="G53" s="128">
        <f>SUM(G54:G59)</f>
        <v>-23</v>
      </c>
      <c r="H53" s="129">
        <f>SUM(H54:H59)</f>
        <v>-303834.58</v>
      </c>
      <c r="K53" s="258"/>
      <c r="O53" s="4"/>
      <c r="P53" s="258"/>
      <c r="Q53" s="4"/>
      <c r="R53" s="258"/>
    </row>
    <row r="54" spans="1:18">
      <c r="A54" s="532"/>
      <c r="B54" s="112">
        <v>530040</v>
      </c>
      <c r="C54" s="107" t="s">
        <v>54</v>
      </c>
      <c r="D54" s="65" t="s">
        <v>12</v>
      </c>
      <c r="E54" s="51">
        <v>0</v>
      </c>
      <c r="F54" s="130">
        <v>0</v>
      </c>
      <c r="G54" s="51">
        <v>3</v>
      </c>
      <c r="H54" s="130">
        <v>40898.720000000001</v>
      </c>
      <c r="K54" s="258"/>
      <c r="O54" s="4"/>
      <c r="P54" s="258"/>
      <c r="Q54" s="4"/>
      <c r="R54" s="258"/>
    </row>
    <row r="55" spans="1:18">
      <c r="A55" s="533"/>
      <c r="B55" s="212">
        <v>530040</v>
      </c>
      <c r="C55" s="107" t="s">
        <v>73</v>
      </c>
      <c r="D55" s="65" t="s">
        <v>13</v>
      </c>
      <c r="E55" s="51">
        <v>0</v>
      </c>
      <c r="F55" s="130">
        <v>0</v>
      </c>
      <c r="G55" s="51">
        <v>1</v>
      </c>
      <c r="H55" s="130">
        <v>19934.78</v>
      </c>
      <c r="K55" s="258"/>
      <c r="O55" s="4"/>
      <c r="P55" s="258"/>
      <c r="Q55" s="4"/>
      <c r="R55" s="258"/>
    </row>
    <row r="56" spans="1:18">
      <c r="A56" s="533"/>
      <c r="B56" s="212">
        <v>530040</v>
      </c>
      <c r="C56" s="107" t="s">
        <v>61</v>
      </c>
      <c r="D56" s="65" t="s">
        <v>16</v>
      </c>
      <c r="E56" s="51">
        <v>0</v>
      </c>
      <c r="F56" s="130">
        <v>0</v>
      </c>
      <c r="G56" s="51">
        <v>-3</v>
      </c>
      <c r="H56" s="130">
        <v>-50231.78</v>
      </c>
      <c r="K56" s="258"/>
      <c r="O56" s="4"/>
      <c r="P56" s="258"/>
      <c r="Q56" s="4"/>
      <c r="R56" s="258"/>
    </row>
    <row r="57" spans="1:18">
      <c r="A57" s="533"/>
      <c r="B57" s="212">
        <v>530040</v>
      </c>
      <c r="C57" s="107" t="s">
        <v>64</v>
      </c>
      <c r="D57" s="65" t="s">
        <v>17</v>
      </c>
      <c r="E57" s="51">
        <v>0</v>
      </c>
      <c r="F57" s="130">
        <v>0</v>
      </c>
      <c r="G57" s="51">
        <v>-27</v>
      </c>
      <c r="H57" s="130">
        <v>-336158.97</v>
      </c>
      <c r="K57" s="258"/>
      <c r="O57" s="4"/>
      <c r="P57" s="258"/>
      <c r="Q57" s="4"/>
      <c r="R57" s="258"/>
    </row>
    <row r="58" spans="1:18">
      <c r="A58" s="533"/>
      <c r="B58" s="212">
        <v>530040</v>
      </c>
      <c r="C58" s="107" t="s">
        <v>66</v>
      </c>
      <c r="D58" s="65" t="s">
        <v>18</v>
      </c>
      <c r="E58" s="51">
        <v>0</v>
      </c>
      <c r="F58" s="130">
        <v>0</v>
      </c>
      <c r="G58" s="51">
        <v>4</v>
      </c>
      <c r="H58" s="130">
        <v>25715.870000000003</v>
      </c>
      <c r="J58" s="4"/>
      <c r="K58" s="258"/>
      <c r="O58" s="4"/>
      <c r="P58" s="258"/>
      <c r="Q58" s="4"/>
      <c r="R58" s="258"/>
    </row>
    <row r="59" spans="1:18" ht="56.25">
      <c r="A59" s="534"/>
      <c r="B59" s="213">
        <v>530040</v>
      </c>
      <c r="C59" s="107">
        <v>184</v>
      </c>
      <c r="D59" s="65" t="s">
        <v>283</v>
      </c>
      <c r="E59" s="51">
        <v>0</v>
      </c>
      <c r="F59" s="130">
        <v>0</v>
      </c>
      <c r="G59" s="51">
        <v>-1</v>
      </c>
      <c r="H59" s="130">
        <v>-3993.2</v>
      </c>
      <c r="J59" s="4"/>
      <c r="K59" s="258"/>
      <c r="O59" s="4"/>
      <c r="P59" s="258"/>
      <c r="Q59" s="4"/>
      <c r="R59" s="258"/>
    </row>
    <row r="60" spans="1:18">
      <c r="A60" s="114">
        <v>12</v>
      </c>
      <c r="B60" s="214">
        <v>530042</v>
      </c>
      <c r="C60" s="50" t="s">
        <v>165</v>
      </c>
      <c r="D60" s="127" t="s">
        <v>180</v>
      </c>
      <c r="E60" s="128">
        <f>SUM(E61:E64)</f>
        <v>0</v>
      </c>
      <c r="F60" s="129">
        <f>SUM(F61:F64)</f>
        <v>0</v>
      </c>
      <c r="G60" s="128">
        <f>SUM(G61:G64)</f>
        <v>57</v>
      </c>
      <c r="H60" s="129">
        <f>SUM(H61:H64)</f>
        <v>565724.39</v>
      </c>
      <c r="J60" s="4"/>
      <c r="K60" s="258"/>
      <c r="P60" s="258"/>
      <c r="Q60" s="4"/>
      <c r="R60" s="258"/>
    </row>
    <row r="61" spans="1:18">
      <c r="A61" s="532"/>
      <c r="B61" s="112">
        <v>530042</v>
      </c>
      <c r="C61" s="107" t="s">
        <v>87</v>
      </c>
      <c r="D61" s="65" t="s">
        <v>21</v>
      </c>
      <c r="E61" s="51">
        <v>0</v>
      </c>
      <c r="F61" s="130">
        <v>0</v>
      </c>
      <c r="G61" s="51">
        <v>8</v>
      </c>
      <c r="H61" s="130">
        <v>91862.700000000012</v>
      </c>
      <c r="J61" s="4"/>
      <c r="K61" s="258"/>
      <c r="O61" s="4"/>
      <c r="P61" s="258"/>
      <c r="Q61" s="4"/>
      <c r="R61" s="258"/>
    </row>
    <row r="62" spans="1:18">
      <c r="A62" s="533"/>
      <c r="B62" s="212">
        <v>530042</v>
      </c>
      <c r="C62" s="107" t="s">
        <v>73</v>
      </c>
      <c r="D62" s="65" t="s">
        <v>13</v>
      </c>
      <c r="E62" s="51">
        <v>0</v>
      </c>
      <c r="F62" s="130">
        <v>0</v>
      </c>
      <c r="G62" s="51">
        <v>41</v>
      </c>
      <c r="H62" s="130">
        <v>468317.79</v>
      </c>
    </row>
    <row r="63" spans="1:18">
      <c r="A63" s="533"/>
      <c r="B63" s="212">
        <v>530042</v>
      </c>
      <c r="C63" s="107" t="s">
        <v>61</v>
      </c>
      <c r="D63" s="65" t="s">
        <v>16</v>
      </c>
      <c r="E63" s="51">
        <v>0</v>
      </c>
      <c r="F63" s="130">
        <v>0</v>
      </c>
      <c r="G63" s="51">
        <v>15</v>
      </c>
      <c r="H63" s="130">
        <v>63046.030000000028</v>
      </c>
    </row>
    <row r="64" spans="1:18">
      <c r="A64" s="533"/>
      <c r="B64" s="213">
        <v>530042</v>
      </c>
      <c r="C64" s="107" t="s">
        <v>66</v>
      </c>
      <c r="D64" s="65" t="s">
        <v>18</v>
      </c>
      <c r="E64" s="51">
        <v>0</v>
      </c>
      <c r="F64" s="130">
        <v>0</v>
      </c>
      <c r="G64" s="51">
        <v>-7</v>
      </c>
      <c r="H64" s="130">
        <v>-57502.13</v>
      </c>
    </row>
    <row r="65" spans="1:8">
      <c r="A65" s="114">
        <v>13</v>
      </c>
      <c r="B65" s="211">
        <v>530045</v>
      </c>
      <c r="C65" s="50" t="s">
        <v>165</v>
      </c>
      <c r="D65" s="127" t="s">
        <v>22</v>
      </c>
      <c r="E65" s="128">
        <f>E66</f>
        <v>0</v>
      </c>
      <c r="F65" s="129">
        <f t="shared" ref="F65:H65" si="9">F66</f>
        <v>0</v>
      </c>
      <c r="G65" s="128">
        <f t="shared" si="9"/>
        <v>-114</v>
      </c>
      <c r="H65" s="129">
        <f t="shared" si="9"/>
        <v>-1160867.1599999999</v>
      </c>
    </row>
    <row r="66" spans="1:8">
      <c r="A66" s="285"/>
      <c r="B66" s="113">
        <v>530045</v>
      </c>
      <c r="C66" s="83" t="s">
        <v>61</v>
      </c>
      <c r="D66" s="65" t="s">
        <v>16</v>
      </c>
      <c r="E66" s="51">
        <v>0</v>
      </c>
      <c r="F66" s="130">
        <v>0</v>
      </c>
      <c r="G66" s="51">
        <v>-114</v>
      </c>
      <c r="H66" s="130">
        <v>-1160867.1599999999</v>
      </c>
    </row>
    <row r="67" spans="1:8" ht="37.5">
      <c r="A67" s="114">
        <v>14</v>
      </c>
      <c r="B67" s="210">
        <v>530046</v>
      </c>
      <c r="C67" s="50" t="s">
        <v>165</v>
      </c>
      <c r="D67" s="127" t="s">
        <v>181</v>
      </c>
      <c r="E67" s="128">
        <f>SUM(E68:E69)</f>
        <v>0</v>
      </c>
      <c r="F67" s="129">
        <f t="shared" ref="F67:H67" si="10">SUM(F68:F69)</f>
        <v>0</v>
      </c>
      <c r="G67" s="128">
        <f t="shared" si="10"/>
        <v>1</v>
      </c>
      <c r="H67" s="129">
        <f t="shared" si="10"/>
        <v>7336.6699999999983</v>
      </c>
    </row>
    <row r="68" spans="1:8">
      <c r="A68" s="532"/>
      <c r="B68" s="112">
        <v>530046</v>
      </c>
      <c r="C68" s="107" t="s">
        <v>54</v>
      </c>
      <c r="D68" s="65" t="s">
        <v>12</v>
      </c>
      <c r="E68" s="51">
        <v>0</v>
      </c>
      <c r="F68" s="130">
        <v>0</v>
      </c>
      <c r="G68" s="51">
        <v>-2</v>
      </c>
      <c r="H68" s="130">
        <v>-18580.7</v>
      </c>
    </row>
    <row r="69" spans="1:8">
      <c r="A69" s="533"/>
      <c r="B69" s="213">
        <v>530046</v>
      </c>
      <c r="C69" s="107" t="s">
        <v>61</v>
      </c>
      <c r="D69" s="65" t="s">
        <v>16</v>
      </c>
      <c r="E69" s="51">
        <v>0</v>
      </c>
      <c r="F69" s="130">
        <v>0</v>
      </c>
      <c r="G69" s="51">
        <v>3</v>
      </c>
      <c r="H69" s="130">
        <v>25917.37</v>
      </c>
    </row>
    <row r="70" spans="1:8">
      <c r="A70" s="114">
        <v>15</v>
      </c>
      <c r="B70" s="214">
        <v>530050</v>
      </c>
      <c r="C70" s="50" t="s">
        <v>165</v>
      </c>
      <c r="D70" s="127" t="s">
        <v>182</v>
      </c>
      <c r="E70" s="128">
        <f>SUM(E71:E72)</f>
        <v>500</v>
      </c>
      <c r="F70" s="129">
        <f t="shared" ref="F70:H70" si="11">SUM(F71:F72)</f>
        <v>0</v>
      </c>
      <c r="G70" s="128">
        <f t="shared" si="11"/>
        <v>691</v>
      </c>
      <c r="H70" s="129">
        <f t="shared" si="11"/>
        <v>-20948517.73</v>
      </c>
    </row>
    <row r="71" spans="1:8">
      <c r="A71" s="532"/>
      <c r="B71" s="112">
        <v>530050</v>
      </c>
      <c r="C71" s="107" t="s">
        <v>86</v>
      </c>
      <c r="D71" s="65" t="s">
        <v>24</v>
      </c>
      <c r="E71" s="51">
        <v>500</v>
      </c>
      <c r="F71" s="130">
        <v>0</v>
      </c>
      <c r="G71" s="51">
        <v>718</v>
      </c>
      <c r="H71" s="130">
        <v>-20503295.690000001</v>
      </c>
    </row>
    <row r="72" spans="1:8">
      <c r="A72" s="533"/>
      <c r="B72" s="213">
        <v>530050</v>
      </c>
      <c r="C72" s="107">
        <v>166</v>
      </c>
      <c r="D72" s="65" t="s">
        <v>25</v>
      </c>
      <c r="E72" s="51">
        <v>0</v>
      </c>
      <c r="F72" s="130">
        <v>0</v>
      </c>
      <c r="G72" s="51">
        <v>-27</v>
      </c>
      <c r="H72" s="130">
        <v>-445222.04000000004</v>
      </c>
    </row>
    <row r="73" spans="1:8">
      <c r="A73" s="114">
        <v>16</v>
      </c>
      <c r="B73" s="214">
        <v>530052</v>
      </c>
      <c r="C73" s="50" t="s">
        <v>165</v>
      </c>
      <c r="D73" s="127" t="s">
        <v>284</v>
      </c>
      <c r="E73" s="128">
        <f>SUM(E74:E76)</f>
        <v>0</v>
      </c>
      <c r="F73" s="129">
        <f t="shared" ref="F73:H73" si="12">SUM(F74:F76)</f>
        <v>0</v>
      </c>
      <c r="G73" s="128">
        <f t="shared" si="12"/>
        <v>8</v>
      </c>
      <c r="H73" s="129">
        <f t="shared" si="12"/>
        <v>40631.630000000005</v>
      </c>
    </row>
    <row r="74" spans="1:8">
      <c r="A74" s="300"/>
      <c r="B74" s="328">
        <v>530052</v>
      </c>
      <c r="C74" s="321">
        <v>29</v>
      </c>
      <c r="D74" s="325" t="s">
        <v>6</v>
      </c>
      <c r="E74" s="51">
        <v>0</v>
      </c>
      <c r="F74" s="130">
        <v>0</v>
      </c>
      <c r="G74" s="51">
        <v>0</v>
      </c>
      <c r="H74" s="130">
        <v>-9428.0400000000009</v>
      </c>
    </row>
    <row r="75" spans="1:8">
      <c r="A75" s="300"/>
      <c r="B75" s="327">
        <v>530052</v>
      </c>
      <c r="C75" s="321">
        <v>53</v>
      </c>
      <c r="D75" s="325" t="s">
        <v>12</v>
      </c>
      <c r="E75" s="51">
        <v>0</v>
      </c>
      <c r="F75" s="130">
        <v>0</v>
      </c>
      <c r="G75" s="51">
        <v>4</v>
      </c>
      <c r="H75" s="130">
        <v>8322.19</v>
      </c>
    </row>
    <row r="76" spans="1:8">
      <c r="A76" s="300"/>
      <c r="B76" s="327">
        <v>530052</v>
      </c>
      <c r="C76" s="321">
        <v>97</v>
      </c>
      <c r="D76" s="325" t="s">
        <v>16</v>
      </c>
      <c r="E76" s="51">
        <v>0</v>
      </c>
      <c r="F76" s="130">
        <v>0</v>
      </c>
      <c r="G76" s="51">
        <v>4</v>
      </c>
      <c r="H76" s="130">
        <v>41737.480000000003</v>
      </c>
    </row>
    <row r="77" spans="1:8">
      <c r="A77" s="114">
        <v>17</v>
      </c>
      <c r="B77" s="114">
        <v>530054</v>
      </c>
      <c r="C77" s="50" t="s">
        <v>165</v>
      </c>
      <c r="D77" s="127" t="s">
        <v>199</v>
      </c>
      <c r="E77" s="128">
        <v>4</v>
      </c>
      <c r="F77" s="129">
        <v>2623181.4399999976</v>
      </c>
      <c r="G77" s="128">
        <v>4</v>
      </c>
      <c r="H77" s="129">
        <v>2623181.4399999976</v>
      </c>
    </row>
    <row r="78" spans="1:8">
      <c r="A78" s="285"/>
      <c r="B78" s="113">
        <v>530054</v>
      </c>
      <c r="C78" s="83" t="s">
        <v>87</v>
      </c>
      <c r="D78" s="65" t="s">
        <v>21</v>
      </c>
      <c r="E78" s="51">
        <v>4</v>
      </c>
      <c r="F78" s="130">
        <v>2623181.4399999976</v>
      </c>
      <c r="G78" s="51">
        <v>4</v>
      </c>
      <c r="H78" s="130">
        <v>2623181.4399999976</v>
      </c>
    </row>
    <row r="79" spans="1:8">
      <c r="A79" s="114">
        <v>18</v>
      </c>
      <c r="B79" s="114">
        <v>530055</v>
      </c>
      <c r="C79" s="50" t="s">
        <v>165</v>
      </c>
      <c r="D79" s="127" t="s">
        <v>285</v>
      </c>
      <c r="E79" s="128">
        <f>E80</f>
        <v>0</v>
      </c>
      <c r="F79" s="129">
        <f>F80</f>
        <v>0</v>
      </c>
      <c r="G79" s="128">
        <f>G80</f>
        <v>14</v>
      </c>
      <c r="H79" s="129">
        <f>H80</f>
        <v>669379.1</v>
      </c>
    </row>
    <row r="80" spans="1:8">
      <c r="A80" s="300"/>
      <c r="B80" s="329">
        <v>530055</v>
      </c>
      <c r="C80" s="321">
        <v>16</v>
      </c>
      <c r="D80" s="325" t="s">
        <v>286</v>
      </c>
      <c r="E80" s="51">
        <v>0</v>
      </c>
      <c r="F80" s="130">
        <v>0</v>
      </c>
      <c r="G80" s="51">
        <v>14</v>
      </c>
      <c r="H80" s="130">
        <v>669379.1</v>
      </c>
    </row>
    <row r="81" spans="1:11" ht="37.5">
      <c r="A81" s="114">
        <v>19</v>
      </c>
      <c r="B81" s="114">
        <v>530133</v>
      </c>
      <c r="C81" s="50" t="s">
        <v>165</v>
      </c>
      <c r="D81" s="127" t="s">
        <v>186</v>
      </c>
      <c r="E81" s="128">
        <f>E82</f>
        <v>0</v>
      </c>
      <c r="F81" s="129">
        <f t="shared" ref="F81:H81" si="13">F82</f>
        <v>0</v>
      </c>
      <c r="G81" s="128">
        <f t="shared" si="13"/>
        <v>-2</v>
      </c>
      <c r="H81" s="129">
        <f t="shared" si="13"/>
        <v>-16156.16</v>
      </c>
    </row>
    <row r="82" spans="1:11">
      <c r="A82" s="285"/>
      <c r="B82" s="113">
        <v>530133</v>
      </c>
      <c r="C82" s="146">
        <v>97</v>
      </c>
      <c r="D82" s="65" t="s">
        <v>16</v>
      </c>
      <c r="E82" s="51">
        <v>0</v>
      </c>
      <c r="F82" s="130">
        <v>0</v>
      </c>
      <c r="G82" s="51">
        <v>-2</v>
      </c>
      <c r="H82" s="130">
        <v>-16156.16</v>
      </c>
    </row>
    <row r="83" spans="1:11">
      <c r="A83" s="114">
        <v>20</v>
      </c>
      <c r="B83" s="210">
        <v>530154</v>
      </c>
      <c r="C83" s="50" t="s">
        <v>165</v>
      </c>
      <c r="D83" s="127" t="s">
        <v>188</v>
      </c>
      <c r="E83" s="128">
        <f>SUM(E84:E85)</f>
        <v>0</v>
      </c>
      <c r="F83" s="129">
        <f>SUM(F84:F85)</f>
        <v>0</v>
      </c>
      <c r="G83" s="128">
        <f>SUM(G84:G85)</f>
        <v>-4.1780000000000008</v>
      </c>
      <c r="H83" s="129">
        <f>SUM(H84:H85)</f>
        <v>-42455.478260000033</v>
      </c>
      <c r="K83" s="258"/>
    </row>
    <row r="84" spans="1:11">
      <c r="A84" s="535"/>
      <c r="B84" s="112">
        <v>530154</v>
      </c>
      <c r="C84" s="382">
        <v>53</v>
      </c>
      <c r="D84" s="65" t="s">
        <v>12</v>
      </c>
      <c r="E84" s="51">
        <v>0</v>
      </c>
      <c r="F84" s="130">
        <v>0</v>
      </c>
      <c r="G84" s="51">
        <v>-4.1780000000000008</v>
      </c>
      <c r="H84" s="130">
        <v>-42455.368260000032</v>
      </c>
    </row>
    <row r="85" spans="1:11">
      <c r="A85" s="536"/>
      <c r="B85" s="213"/>
      <c r="C85" s="382">
        <v>65</v>
      </c>
      <c r="D85" s="65" t="s">
        <v>27</v>
      </c>
      <c r="E85" s="51">
        <v>0</v>
      </c>
      <c r="F85" s="130">
        <v>0</v>
      </c>
      <c r="G85" s="51"/>
      <c r="H85" s="130">
        <v>-0.11</v>
      </c>
    </row>
    <row r="86" spans="1:11">
      <c r="A86" s="114">
        <v>21</v>
      </c>
      <c r="B86" s="214">
        <v>530157</v>
      </c>
      <c r="C86" s="50" t="s">
        <v>165</v>
      </c>
      <c r="D86" s="127" t="s">
        <v>190</v>
      </c>
      <c r="E86" s="128">
        <f>SUM(E87:E90)</f>
        <v>0</v>
      </c>
      <c r="F86" s="129">
        <f t="shared" ref="F86:H86" si="14">SUM(F87:F90)</f>
        <v>-28188.639999999024</v>
      </c>
      <c r="G86" s="128">
        <f t="shared" si="14"/>
        <v>0</v>
      </c>
      <c r="H86" s="129">
        <f t="shared" si="14"/>
        <v>-28188.639999999996</v>
      </c>
    </row>
    <row r="87" spans="1:11">
      <c r="A87" s="533"/>
      <c r="B87" s="112">
        <v>530157</v>
      </c>
      <c r="C87" s="382">
        <v>53</v>
      </c>
      <c r="D87" s="65" t="s">
        <v>12</v>
      </c>
      <c r="E87" s="51">
        <v>1</v>
      </c>
      <c r="F87" s="130">
        <v>83640.81</v>
      </c>
      <c r="G87" s="51">
        <v>1</v>
      </c>
      <c r="H87" s="130">
        <v>83640.81</v>
      </c>
    </row>
    <row r="88" spans="1:11">
      <c r="A88" s="533"/>
      <c r="B88" s="212">
        <v>530157</v>
      </c>
      <c r="C88" s="382">
        <v>97</v>
      </c>
      <c r="D88" s="65" t="s">
        <v>16</v>
      </c>
      <c r="E88" s="51">
        <v>-1</v>
      </c>
      <c r="F88" s="130">
        <v>-17555.75</v>
      </c>
      <c r="G88" s="51">
        <v>-1</v>
      </c>
      <c r="H88" s="130">
        <v>-17555.75</v>
      </c>
    </row>
    <row r="89" spans="1:11">
      <c r="A89" s="533"/>
      <c r="B89" s="212">
        <v>530157</v>
      </c>
      <c r="C89" s="382">
        <v>100</v>
      </c>
      <c r="D89" s="65" t="s">
        <v>14</v>
      </c>
      <c r="E89" s="51">
        <v>0</v>
      </c>
      <c r="F89" s="130">
        <v>-97678.539999999106</v>
      </c>
      <c r="G89" s="51">
        <v>0</v>
      </c>
      <c r="H89" s="130">
        <v>-97678.54</v>
      </c>
    </row>
    <row r="90" spans="1:11">
      <c r="A90" s="533"/>
      <c r="B90" s="213">
        <v>530157</v>
      </c>
      <c r="C90" s="107" t="s">
        <v>67</v>
      </c>
      <c r="D90" s="65" t="s">
        <v>19</v>
      </c>
      <c r="E90" s="51">
        <v>0</v>
      </c>
      <c r="F90" s="130">
        <v>3404.8400000000838</v>
      </c>
      <c r="G90" s="51">
        <v>0</v>
      </c>
      <c r="H90" s="130">
        <v>3404.84</v>
      </c>
    </row>
    <row r="91" spans="1:11" ht="56.25">
      <c r="A91" s="114">
        <v>22</v>
      </c>
      <c r="B91" s="211">
        <v>530171</v>
      </c>
      <c r="C91" s="50" t="s">
        <v>165</v>
      </c>
      <c r="D91" s="127" t="s">
        <v>192</v>
      </c>
      <c r="E91" s="128">
        <f>E92</f>
        <v>308</v>
      </c>
      <c r="F91" s="129">
        <f t="shared" ref="F91:H91" si="15">F92</f>
        <v>2763990.08</v>
      </c>
      <c r="G91" s="128">
        <f t="shared" si="15"/>
        <v>312</v>
      </c>
      <c r="H91" s="129">
        <f t="shared" si="15"/>
        <v>3315034.33</v>
      </c>
    </row>
    <row r="92" spans="1:11">
      <c r="A92" s="285"/>
      <c r="B92" s="116">
        <v>530171</v>
      </c>
      <c r="C92" s="83" t="s">
        <v>61</v>
      </c>
      <c r="D92" s="65" t="s">
        <v>16</v>
      </c>
      <c r="E92" s="51">
        <v>308</v>
      </c>
      <c r="F92" s="130">
        <v>2763990.08</v>
      </c>
      <c r="G92" s="51">
        <v>312</v>
      </c>
      <c r="H92" s="130">
        <v>3315034.33</v>
      </c>
    </row>
    <row r="93" spans="1:11">
      <c r="A93" s="114">
        <v>23</v>
      </c>
      <c r="B93" s="210">
        <v>530188</v>
      </c>
      <c r="C93" s="50" t="s">
        <v>165</v>
      </c>
      <c r="D93" s="127" t="s">
        <v>29</v>
      </c>
      <c r="E93" s="128">
        <f>SUM(E94:E99)</f>
        <v>0</v>
      </c>
      <c r="F93" s="129">
        <f t="shared" ref="F93:H93" si="16">SUM(F94:F99)</f>
        <v>0</v>
      </c>
      <c r="G93" s="128">
        <f>SUM(G94:G99)</f>
        <v>66</v>
      </c>
      <c r="H93" s="129">
        <f t="shared" si="16"/>
        <v>729519.80999999982</v>
      </c>
    </row>
    <row r="94" spans="1:11">
      <c r="A94" s="532"/>
      <c r="B94" s="112">
        <v>530188</v>
      </c>
      <c r="C94" s="107" t="s">
        <v>52</v>
      </c>
      <c r="D94" s="65" t="s">
        <v>6</v>
      </c>
      <c r="E94" s="51">
        <v>0</v>
      </c>
      <c r="F94" s="130">
        <v>0</v>
      </c>
      <c r="G94" s="51">
        <v>2</v>
      </c>
      <c r="H94" s="130">
        <v>69662.22</v>
      </c>
    </row>
    <row r="95" spans="1:11" ht="37.5">
      <c r="A95" s="533"/>
      <c r="B95" s="212">
        <v>530188</v>
      </c>
      <c r="C95" s="107" t="s">
        <v>91</v>
      </c>
      <c r="D95" s="65" t="s">
        <v>15</v>
      </c>
      <c r="E95" s="51">
        <v>0</v>
      </c>
      <c r="F95" s="130">
        <v>0</v>
      </c>
      <c r="G95" s="51">
        <v>-24</v>
      </c>
      <c r="H95" s="130">
        <v>-255295.44</v>
      </c>
    </row>
    <row r="96" spans="1:11">
      <c r="A96" s="533"/>
      <c r="B96" s="212">
        <v>530188</v>
      </c>
      <c r="C96" s="107" t="s">
        <v>86</v>
      </c>
      <c r="D96" s="65" t="s">
        <v>24</v>
      </c>
      <c r="E96" s="51">
        <v>0</v>
      </c>
      <c r="F96" s="130">
        <v>0</v>
      </c>
      <c r="G96" s="51">
        <v>0</v>
      </c>
      <c r="H96" s="130">
        <v>-30726.670000000002</v>
      </c>
    </row>
    <row r="97" spans="1:20">
      <c r="A97" s="533"/>
      <c r="B97" s="212">
        <v>530188</v>
      </c>
      <c r="C97" s="107" t="s">
        <v>61</v>
      </c>
      <c r="D97" s="65" t="s">
        <v>16</v>
      </c>
      <c r="E97" s="51">
        <v>0</v>
      </c>
      <c r="F97" s="130">
        <v>0</v>
      </c>
      <c r="G97" s="51">
        <v>98</v>
      </c>
      <c r="H97" s="130">
        <v>1016739.8699999999</v>
      </c>
    </row>
    <row r="98" spans="1:20">
      <c r="A98" s="533"/>
      <c r="B98" s="212">
        <v>530188</v>
      </c>
      <c r="C98" s="107" t="s">
        <v>62</v>
      </c>
      <c r="D98" s="65" t="s">
        <v>14</v>
      </c>
      <c r="E98" s="51">
        <v>0</v>
      </c>
      <c r="F98" s="130">
        <v>0</v>
      </c>
      <c r="G98" s="51">
        <v>-12</v>
      </c>
      <c r="H98" s="130">
        <v>-152734.70000000001</v>
      </c>
    </row>
    <row r="99" spans="1:20">
      <c r="A99" s="533"/>
      <c r="B99" s="213">
        <v>530188</v>
      </c>
      <c r="C99" s="107" t="s">
        <v>66</v>
      </c>
      <c r="D99" s="65" t="s">
        <v>18</v>
      </c>
      <c r="E99" s="51">
        <v>0</v>
      </c>
      <c r="F99" s="130">
        <v>0</v>
      </c>
      <c r="G99" s="51">
        <v>2</v>
      </c>
      <c r="H99" s="130">
        <v>81874.53</v>
      </c>
    </row>
    <row r="100" spans="1:20">
      <c r="A100" s="114">
        <v>24</v>
      </c>
      <c r="B100" s="211">
        <v>530190</v>
      </c>
      <c r="C100" s="50" t="s">
        <v>165</v>
      </c>
      <c r="D100" s="127" t="s">
        <v>202</v>
      </c>
      <c r="E100" s="128">
        <f>E101</f>
        <v>0</v>
      </c>
      <c r="F100" s="129">
        <f t="shared" ref="F100:H100" si="17">F101</f>
        <v>0</v>
      </c>
      <c r="G100" s="128">
        <f t="shared" si="17"/>
        <v>0</v>
      </c>
      <c r="H100" s="129">
        <f t="shared" si="17"/>
        <v>-267536.7</v>
      </c>
    </row>
    <row r="101" spans="1:20">
      <c r="A101" s="285"/>
      <c r="B101" s="113">
        <v>530190</v>
      </c>
      <c r="C101" s="83">
        <v>137</v>
      </c>
      <c r="D101" s="65" t="s">
        <v>18</v>
      </c>
      <c r="E101" s="51">
        <v>0</v>
      </c>
      <c r="F101" s="130">
        <v>0</v>
      </c>
      <c r="G101" s="51">
        <v>0</v>
      </c>
      <c r="H101" s="130">
        <v>-267536.7</v>
      </c>
    </row>
    <row r="102" spans="1:20">
      <c r="A102" s="114">
        <v>25</v>
      </c>
      <c r="B102" s="210">
        <v>530225</v>
      </c>
      <c r="C102" s="50" t="s">
        <v>165</v>
      </c>
      <c r="D102" s="127" t="s">
        <v>193</v>
      </c>
      <c r="E102" s="128">
        <f>SUM(E103:E104)</f>
        <v>0</v>
      </c>
      <c r="F102" s="129">
        <f t="shared" ref="F102:H102" si="18">SUM(F103:F104)</f>
        <v>0</v>
      </c>
      <c r="G102" s="128">
        <f t="shared" si="18"/>
        <v>21</v>
      </c>
      <c r="H102" s="129">
        <f t="shared" si="18"/>
        <v>170967.06</v>
      </c>
    </row>
    <row r="103" spans="1:20">
      <c r="A103" s="532"/>
      <c r="B103" s="112">
        <v>530225</v>
      </c>
      <c r="C103" s="330">
        <v>68</v>
      </c>
      <c r="D103" s="331" t="s">
        <v>13</v>
      </c>
      <c r="E103" s="51">
        <v>0</v>
      </c>
      <c r="F103" s="130">
        <v>0</v>
      </c>
      <c r="G103" s="332">
        <f>-2-1</f>
        <v>-3</v>
      </c>
      <c r="H103" s="130">
        <f>-15158.68-9207.56</f>
        <v>-24366.239999999998</v>
      </c>
    </row>
    <row r="104" spans="1:20">
      <c r="A104" s="534"/>
      <c r="B104" s="213">
        <v>530225</v>
      </c>
      <c r="C104" s="330">
        <v>97</v>
      </c>
      <c r="D104" s="331" t="s">
        <v>16</v>
      </c>
      <c r="E104" s="51">
        <v>0</v>
      </c>
      <c r="F104" s="130">
        <v>0</v>
      </c>
      <c r="G104" s="332">
        <v>24</v>
      </c>
      <c r="H104" s="130">
        <v>195333.3</v>
      </c>
    </row>
    <row r="105" spans="1:20" ht="37.5">
      <c r="A105" s="114">
        <v>26</v>
      </c>
      <c r="B105" s="214">
        <v>530226</v>
      </c>
      <c r="C105" s="50" t="s">
        <v>165</v>
      </c>
      <c r="D105" s="127" t="s">
        <v>31</v>
      </c>
      <c r="E105" s="128">
        <f>SUM(E106:E108)</f>
        <v>0</v>
      </c>
      <c r="F105" s="129">
        <f t="shared" ref="F105:H105" si="19">SUM(F106:F108)</f>
        <v>189000.00000000326</v>
      </c>
      <c r="G105" s="128">
        <f t="shared" si="19"/>
        <v>0</v>
      </c>
      <c r="H105" s="129">
        <f t="shared" si="19"/>
        <v>189000</v>
      </c>
    </row>
    <row r="106" spans="1:20">
      <c r="A106" s="532"/>
      <c r="B106" s="112">
        <v>530226</v>
      </c>
      <c r="C106" s="107" t="s">
        <v>52</v>
      </c>
      <c r="D106" s="65" t="s">
        <v>6</v>
      </c>
      <c r="E106" s="51">
        <v>0</v>
      </c>
      <c r="F106" s="130">
        <v>-6780.160000000149</v>
      </c>
      <c r="G106" s="51">
        <v>0</v>
      </c>
      <c r="H106" s="130">
        <v>-6780.16</v>
      </c>
    </row>
    <row r="107" spans="1:20">
      <c r="A107" s="533"/>
      <c r="B107" s="212">
        <v>530226</v>
      </c>
      <c r="C107" s="107" t="s">
        <v>54</v>
      </c>
      <c r="D107" s="65" t="s">
        <v>12</v>
      </c>
      <c r="E107" s="51">
        <v>0</v>
      </c>
      <c r="F107" s="130">
        <v>-9056.3599999998696</v>
      </c>
      <c r="G107" s="51">
        <v>0</v>
      </c>
      <c r="H107" s="130">
        <v>-9056.36</v>
      </c>
    </row>
    <row r="108" spans="1:20">
      <c r="A108" s="534"/>
      <c r="B108" s="213">
        <v>530226</v>
      </c>
      <c r="C108" s="107" t="s">
        <v>61</v>
      </c>
      <c r="D108" s="65" t="s">
        <v>16</v>
      </c>
      <c r="E108" s="51">
        <v>0</v>
      </c>
      <c r="F108" s="130">
        <v>204836.52000000328</v>
      </c>
      <c r="G108" s="51">
        <v>0</v>
      </c>
      <c r="H108" s="130">
        <v>204836.52</v>
      </c>
    </row>
    <row r="109" spans="1:20">
      <c r="A109" s="114">
        <v>27</v>
      </c>
      <c r="B109" s="214">
        <v>530227</v>
      </c>
      <c r="C109" s="50" t="s">
        <v>165</v>
      </c>
      <c r="D109" s="127" t="s">
        <v>200</v>
      </c>
      <c r="E109" s="128">
        <f>SUM(E110:E116)</f>
        <v>0</v>
      </c>
      <c r="F109" s="129">
        <f t="shared" ref="F109:H109" si="20">SUM(F110:F116)</f>
        <v>-8.7311491370201111E-10</v>
      </c>
      <c r="G109" s="128">
        <f t="shared" si="20"/>
        <v>3</v>
      </c>
      <c r="H109" s="129">
        <f t="shared" si="20"/>
        <v>91792.229999999981</v>
      </c>
      <c r="J109" s="286"/>
      <c r="K109" s="287"/>
      <c r="L109" s="287"/>
      <c r="M109" s="287"/>
      <c r="N109" s="287"/>
      <c r="O109" s="286"/>
      <c r="P109" s="287"/>
      <c r="Q109" s="286"/>
      <c r="R109" s="287"/>
      <c r="S109" s="287"/>
      <c r="T109" s="286"/>
    </row>
    <row r="110" spans="1:20">
      <c r="A110" s="532"/>
      <c r="B110" s="112">
        <v>530227</v>
      </c>
      <c r="C110" s="107" t="s">
        <v>52</v>
      </c>
      <c r="D110" s="65" t="s">
        <v>6</v>
      </c>
      <c r="E110" s="51">
        <v>-4</v>
      </c>
      <c r="F110" s="130">
        <v>-41775.599999999991</v>
      </c>
      <c r="G110" s="51">
        <v>-4</v>
      </c>
      <c r="H110" s="130">
        <v>-41775.599999999999</v>
      </c>
      <c r="J110" s="286"/>
      <c r="K110" s="287"/>
      <c r="L110" s="287"/>
      <c r="M110" s="287"/>
      <c r="N110" s="287"/>
      <c r="O110" s="286"/>
      <c r="P110" s="287"/>
      <c r="Q110" s="286"/>
      <c r="R110" s="287"/>
      <c r="S110" s="287"/>
      <c r="T110" s="286"/>
    </row>
    <row r="111" spans="1:20">
      <c r="A111" s="533"/>
      <c r="B111" s="212">
        <v>530227</v>
      </c>
      <c r="C111" s="107" t="s">
        <v>54</v>
      </c>
      <c r="D111" s="65" t="s">
        <v>12</v>
      </c>
      <c r="E111" s="51">
        <v>-12</v>
      </c>
      <c r="F111" s="130">
        <v>-127426.79999999993</v>
      </c>
      <c r="G111" s="51">
        <v>-12</v>
      </c>
      <c r="H111" s="130">
        <v>-127551.83</v>
      </c>
      <c r="J111" s="286"/>
      <c r="K111" s="287"/>
      <c r="L111" s="287"/>
      <c r="M111" s="287"/>
      <c r="N111" s="287"/>
      <c r="O111" s="286"/>
      <c r="P111" s="287"/>
      <c r="Q111" s="286"/>
      <c r="R111" s="287"/>
      <c r="S111" s="287"/>
      <c r="T111" s="286"/>
    </row>
    <row r="112" spans="1:20">
      <c r="A112" s="533"/>
      <c r="B112" s="212">
        <v>530227</v>
      </c>
      <c r="C112" s="107" t="s">
        <v>86</v>
      </c>
      <c r="D112" s="65" t="s">
        <v>24</v>
      </c>
      <c r="E112" s="51">
        <v>-4</v>
      </c>
      <c r="F112" s="130">
        <v>-42478.880000000354</v>
      </c>
      <c r="G112" s="51">
        <v>-2</v>
      </c>
      <c r="H112" s="130">
        <v>35968.21</v>
      </c>
      <c r="J112" s="286"/>
      <c r="K112" s="287"/>
      <c r="L112" s="287"/>
      <c r="M112" s="287"/>
      <c r="N112" s="287"/>
      <c r="O112" s="286"/>
      <c r="P112" s="287"/>
      <c r="Q112" s="286"/>
      <c r="R112" s="287"/>
      <c r="S112" s="287"/>
      <c r="T112" s="286"/>
    </row>
    <row r="113" spans="1:20">
      <c r="A113" s="533"/>
      <c r="B113" s="212">
        <v>530227</v>
      </c>
      <c r="C113" s="107" t="s">
        <v>73</v>
      </c>
      <c r="D113" s="65" t="s">
        <v>13</v>
      </c>
      <c r="E113" s="51">
        <v>-9</v>
      </c>
      <c r="F113" s="130">
        <v>-85977.69</v>
      </c>
      <c r="G113" s="51">
        <v>-9</v>
      </c>
      <c r="H113" s="130">
        <v>-85977.69</v>
      </c>
      <c r="J113" s="286"/>
      <c r="K113" s="287"/>
      <c r="L113" s="287"/>
      <c r="M113" s="287"/>
      <c r="N113" s="287"/>
      <c r="O113" s="286"/>
      <c r="P113" s="287"/>
      <c r="Q113" s="286"/>
      <c r="R113" s="287"/>
      <c r="S113" s="287"/>
      <c r="T113" s="286"/>
    </row>
    <row r="114" spans="1:20">
      <c r="A114" s="533"/>
      <c r="B114" s="212">
        <v>530227</v>
      </c>
      <c r="C114" s="107" t="s">
        <v>61</v>
      </c>
      <c r="D114" s="65" t="s">
        <v>16</v>
      </c>
      <c r="E114" s="51">
        <v>77</v>
      </c>
      <c r="F114" s="130">
        <v>795254.44999999925</v>
      </c>
      <c r="G114" s="51">
        <v>76</v>
      </c>
      <c r="H114" s="130">
        <v>777423.16</v>
      </c>
      <c r="J114" s="286"/>
      <c r="K114" s="287"/>
      <c r="L114" s="287"/>
      <c r="M114" s="287"/>
      <c r="N114" s="287"/>
      <c r="O114" s="286"/>
      <c r="P114" s="287"/>
      <c r="Q114" s="286"/>
      <c r="R114" s="287"/>
      <c r="S114" s="287"/>
      <c r="T114" s="286"/>
    </row>
    <row r="115" spans="1:20">
      <c r="A115" s="533"/>
      <c r="B115" s="212">
        <v>530227</v>
      </c>
      <c r="C115" s="107" t="s">
        <v>64</v>
      </c>
      <c r="D115" s="65" t="s">
        <v>17</v>
      </c>
      <c r="E115" s="51">
        <v>-20</v>
      </c>
      <c r="F115" s="130">
        <v>-200266.27999999991</v>
      </c>
      <c r="G115" s="51">
        <v>-20</v>
      </c>
      <c r="H115" s="130">
        <v>-200266.28</v>
      </c>
      <c r="J115" s="286"/>
      <c r="K115" s="287"/>
      <c r="L115" s="287"/>
      <c r="M115" s="287"/>
      <c r="N115" s="287"/>
      <c r="O115" s="286"/>
      <c r="P115" s="287"/>
      <c r="Q115" s="286"/>
      <c r="R115" s="287"/>
      <c r="S115" s="287"/>
      <c r="T115" s="286"/>
    </row>
    <row r="116" spans="1:20">
      <c r="A116" s="533"/>
      <c r="B116" s="213">
        <v>530227</v>
      </c>
      <c r="C116" s="107" t="s">
        <v>66</v>
      </c>
      <c r="D116" s="65" t="s">
        <v>18</v>
      </c>
      <c r="E116" s="51">
        <v>-28</v>
      </c>
      <c r="F116" s="130">
        <v>-297329.19999999995</v>
      </c>
      <c r="G116" s="51">
        <v>-26</v>
      </c>
      <c r="H116" s="130">
        <v>-266027.74</v>
      </c>
      <c r="J116" s="286"/>
      <c r="K116" s="287"/>
      <c r="L116" s="287"/>
      <c r="M116" s="287"/>
      <c r="N116" s="287"/>
      <c r="O116" s="286"/>
      <c r="P116" s="287"/>
      <c r="Q116" s="286"/>
      <c r="R116" s="287"/>
      <c r="S116" s="287"/>
      <c r="T116" s="286"/>
    </row>
    <row r="117" spans="1:20">
      <c r="A117" s="114">
        <v>28</v>
      </c>
      <c r="B117" s="214">
        <v>530228</v>
      </c>
      <c r="C117" s="50" t="s">
        <v>165</v>
      </c>
      <c r="D117" s="127" t="s">
        <v>194</v>
      </c>
      <c r="E117" s="128">
        <f>SUM(E118:E119)</f>
        <v>0</v>
      </c>
      <c r="F117" s="129">
        <f t="shared" ref="F117:H117" si="21">SUM(F118:F119)</f>
        <v>0</v>
      </c>
      <c r="G117" s="128">
        <f t="shared" si="21"/>
        <v>1</v>
      </c>
      <c r="H117" s="129">
        <f t="shared" si="21"/>
        <v>-4624.92</v>
      </c>
      <c r="J117" s="286"/>
      <c r="K117" s="287"/>
      <c r="L117" s="287"/>
      <c r="M117" s="287"/>
      <c r="N117" s="287"/>
      <c r="O117" s="286"/>
      <c r="P117" s="287"/>
      <c r="Q117" s="286"/>
      <c r="R117" s="287"/>
      <c r="S117" s="287"/>
      <c r="T117" s="287"/>
    </row>
    <row r="118" spans="1:20">
      <c r="A118" s="532"/>
      <c r="B118" s="112">
        <v>530228</v>
      </c>
      <c r="C118" s="330">
        <v>68</v>
      </c>
      <c r="D118" s="323" t="s">
        <v>13</v>
      </c>
      <c r="E118" s="51">
        <v>0</v>
      </c>
      <c r="F118" s="130">
        <v>0</v>
      </c>
      <c r="G118" s="332">
        <f>-2+3</f>
        <v>1</v>
      </c>
      <c r="H118" s="130">
        <f>-15957.04+26418</f>
        <v>10460.959999999999</v>
      </c>
    </row>
    <row r="119" spans="1:20">
      <c r="A119" s="534"/>
      <c r="B119" s="213">
        <v>530228</v>
      </c>
      <c r="C119" s="330">
        <v>97</v>
      </c>
      <c r="D119" s="331" t="s">
        <v>16</v>
      </c>
      <c r="E119" s="51">
        <v>0</v>
      </c>
      <c r="F119" s="130">
        <v>0</v>
      </c>
      <c r="G119" s="332">
        <v>0</v>
      </c>
      <c r="H119" s="130">
        <v>-15085.88</v>
      </c>
    </row>
    <row r="120" spans="1:20" ht="37.5">
      <c r="A120" s="114">
        <v>29</v>
      </c>
      <c r="B120" s="333" t="s">
        <v>165</v>
      </c>
      <c r="C120" s="151" t="s">
        <v>165</v>
      </c>
      <c r="D120" s="100" t="s">
        <v>33</v>
      </c>
      <c r="E120" s="189"/>
      <c r="F120" s="190"/>
      <c r="G120" s="128">
        <f>-1119+27</f>
        <v>-1092</v>
      </c>
      <c r="H120" s="129">
        <f>10150947.42+318789.02</f>
        <v>10469736.439999999</v>
      </c>
    </row>
    <row r="121" spans="1:20">
      <c r="A121" s="527" t="s">
        <v>203</v>
      </c>
      <c r="B121" s="528"/>
      <c r="C121" s="528"/>
      <c r="D121" s="529"/>
      <c r="E121" s="142">
        <f>E10+E15+E22+E30+E32+E35+E37+E43+E45+E49+E53+E60+E65+E67+E70+E73+E77+E79+E81+E83+E86+E91+E93+E100+E102+E105+E109+E117+E120</f>
        <v>885</v>
      </c>
      <c r="F121" s="145">
        <f>F10+F15+F22+F30+F32+F35+F37+F43+F45+F49+F53+F60+F65+F67+F70+F73+F77+F79+F81+F83+F86+F91+F93+F100+F102+F105+F109+F117+F120</f>
        <v>8967513.4499999993</v>
      </c>
      <c r="G121" s="142">
        <f>G10+G15+G22+G30+G32+G35+G37+G43+G45+G49+G53+G60+G65+G67+G70+G73+G77+G79+G81+G83+G86+G91+G93+G100+G102+G105+G109+G117+G120</f>
        <v>-0.17799999999988358</v>
      </c>
      <c r="H121" s="145">
        <f>H10+H15+H22+H30+H32+H35+H37+H43+H45+H49+H53+H60+H65+H67+H70+H73+H77+H79+H81+H83+H86+H91+H93+H100+H102+H105+H109+H117+H120</f>
        <v>1.7399974167346954E-3</v>
      </c>
    </row>
  </sheetData>
  <mergeCells count="25">
    <mergeCell ref="A121:D121"/>
    <mergeCell ref="A7:A8"/>
    <mergeCell ref="B7:B8"/>
    <mergeCell ref="E7:F7"/>
    <mergeCell ref="A11:A14"/>
    <mergeCell ref="A68:A69"/>
    <mergeCell ref="A71:A72"/>
    <mergeCell ref="A87:A90"/>
    <mergeCell ref="A94:A99"/>
    <mergeCell ref="A110:A116"/>
    <mergeCell ref="A106:A108"/>
    <mergeCell ref="A84:A85"/>
    <mergeCell ref="A23:A29"/>
    <mergeCell ref="A33:A34"/>
    <mergeCell ref="A103:A104"/>
    <mergeCell ref="A118:A119"/>
    <mergeCell ref="A5:H5"/>
    <mergeCell ref="G7:H7"/>
    <mergeCell ref="C7:C8"/>
    <mergeCell ref="D7:D8"/>
    <mergeCell ref="A61:A64"/>
    <mergeCell ref="A16:A21"/>
    <mergeCell ref="A38:A42"/>
    <mergeCell ref="A50:A52"/>
    <mergeCell ref="A54:A59"/>
  </mergeCells>
  <pageMargins left="0.78740157480314965" right="0.39370078740157483" top="0.39370078740157483" bottom="0.39370078740157483" header="0.31496062992125984" footer="0.31496062992125984"/>
  <pageSetup paperSize="9" scale="56" fitToHeight="0" orientation="portrait" r:id="rId1"/>
  <ignoredErrors>
    <ignoredError sqref="E10:H10 E37:F37 F45:H45 H70" formulaRange="1"/>
    <ignoredError sqref="C46:C48 C38:C42 C54:C59 C61:C64 C68:C69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</sheetPr>
  <dimension ref="A1:N124"/>
  <sheetViews>
    <sheetView zoomScale="80" zoomScaleNormal="80" workbookViewId="0">
      <pane xSplit="4" ySplit="9" topLeftCell="E34" activePane="bottomRight" state="frozen"/>
      <selection activeCell="J45" sqref="J45"/>
      <selection pane="topRight" activeCell="J45" sqref="J45"/>
      <selection pane="bottomLeft" activeCell="J45" sqref="J45"/>
      <selection pane="bottomRight" activeCell="E54" sqref="E54"/>
    </sheetView>
  </sheetViews>
  <sheetFormatPr defaultRowHeight="18.75"/>
  <cols>
    <col min="1" max="1" width="7" style="74" customWidth="1"/>
    <col min="2" max="2" width="10.140625" style="73" customWidth="1"/>
    <col min="3" max="3" width="10.140625" style="92" customWidth="1"/>
    <col min="4" max="4" width="68" style="73" customWidth="1"/>
    <col min="5" max="5" width="17.85546875" style="74" customWidth="1"/>
    <col min="6" max="6" width="23" style="75" customWidth="1"/>
    <col min="7" max="7" width="18.140625" style="73" customWidth="1"/>
    <col min="8" max="8" width="17.7109375" style="219" customWidth="1"/>
    <col min="9" max="10" width="9.140625" style="73"/>
    <col min="11" max="11" width="9.140625" style="73" customWidth="1"/>
    <col min="12" max="16384" width="9.140625" style="73"/>
  </cols>
  <sheetData>
    <row r="1" spans="1:8">
      <c r="E1" s="120"/>
      <c r="F1" s="32"/>
      <c r="G1" s="32"/>
      <c r="H1" s="217" t="s">
        <v>236</v>
      </c>
    </row>
    <row r="2" spans="1:8">
      <c r="F2" s="32"/>
      <c r="G2" s="32"/>
      <c r="H2" s="218" t="s">
        <v>157</v>
      </c>
    </row>
    <row r="3" spans="1:8">
      <c r="E3" s="120"/>
      <c r="F3" s="501" t="s">
        <v>249</v>
      </c>
      <c r="G3" s="501"/>
      <c r="H3" s="501"/>
    </row>
    <row r="5" spans="1:8" ht="18.75" customHeight="1">
      <c r="A5" s="537" t="s">
        <v>161</v>
      </c>
      <c r="B5" s="537"/>
      <c r="C5" s="537"/>
      <c r="D5" s="537"/>
      <c r="E5" s="537"/>
      <c r="F5" s="537"/>
      <c r="G5" s="537"/>
      <c r="H5" s="537"/>
    </row>
    <row r="6" spans="1:8" ht="23.25" customHeight="1">
      <c r="A6" s="71"/>
      <c r="B6" s="160"/>
      <c r="C6" s="91"/>
      <c r="D6" s="71"/>
      <c r="E6" s="71"/>
      <c r="F6" s="71"/>
    </row>
    <row r="7" spans="1:8" ht="56.25" customHeight="1">
      <c r="A7" s="538" t="s">
        <v>35</v>
      </c>
      <c r="B7" s="538" t="s">
        <v>1</v>
      </c>
      <c r="C7" s="538" t="s">
        <v>93</v>
      </c>
      <c r="D7" s="538" t="s">
        <v>151</v>
      </c>
      <c r="E7" s="460" t="s">
        <v>163</v>
      </c>
      <c r="F7" s="461"/>
      <c r="G7" s="462" t="s">
        <v>164</v>
      </c>
      <c r="H7" s="463"/>
    </row>
    <row r="8" spans="1:8" ht="58.5" customHeight="1">
      <c r="A8" s="538"/>
      <c r="B8" s="538"/>
      <c r="C8" s="538"/>
      <c r="D8" s="538"/>
      <c r="E8" s="278" t="s">
        <v>3</v>
      </c>
      <c r="F8" s="278" t="s">
        <v>37</v>
      </c>
      <c r="G8" s="281" t="s">
        <v>3</v>
      </c>
      <c r="H8" s="153" t="s">
        <v>37</v>
      </c>
    </row>
    <row r="9" spans="1:8" ht="19.5" customHeight="1">
      <c r="A9" s="90">
        <v>1</v>
      </c>
      <c r="B9" s="90">
        <f>+A9+1</f>
        <v>2</v>
      </c>
      <c r="C9" s="90">
        <f t="shared" ref="C9:D9" si="0">+B9+1</f>
        <v>3</v>
      </c>
      <c r="D9" s="90">
        <f t="shared" si="0"/>
        <v>4</v>
      </c>
      <c r="E9" s="90">
        <v>5</v>
      </c>
      <c r="F9" s="76">
        <v>6</v>
      </c>
      <c r="G9" s="76">
        <v>7</v>
      </c>
      <c r="H9" s="76">
        <v>8</v>
      </c>
    </row>
    <row r="10" spans="1:8">
      <c r="A10" s="147">
        <v>1</v>
      </c>
      <c r="B10" s="210">
        <v>530001</v>
      </c>
      <c r="C10" s="50" t="s">
        <v>165</v>
      </c>
      <c r="D10" s="127" t="s">
        <v>166</v>
      </c>
      <c r="E10" s="128">
        <f>E11+E13</f>
        <v>3138</v>
      </c>
      <c r="F10" s="129">
        <f t="shared" ref="F10:H10" si="1">F11+F13</f>
        <v>843873.5700000003</v>
      </c>
      <c r="G10" s="128">
        <f t="shared" si="1"/>
        <v>249</v>
      </c>
      <c r="H10" s="129">
        <f t="shared" si="1"/>
        <v>81370.710000000006</v>
      </c>
    </row>
    <row r="11" spans="1:8">
      <c r="A11" s="539"/>
      <c r="B11" s="112">
        <v>530001</v>
      </c>
      <c r="C11" s="175" t="s">
        <v>204</v>
      </c>
      <c r="D11" s="93" t="s">
        <v>99</v>
      </c>
      <c r="E11" s="192">
        <f>E12</f>
        <v>-100</v>
      </c>
      <c r="F11" s="193">
        <f t="shared" ref="F11:H11" si="2">F12</f>
        <v>-248675</v>
      </c>
      <c r="G11" s="192">
        <f t="shared" si="2"/>
        <v>0</v>
      </c>
      <c r="H11" s="193">
        <f t="shared" si="2"/>
        <v>0</v>
      </c>
    </row>
    <row r="12" spans="1:8">
      <c r="A12" s="540"/>
      <c r="B12" s="212">
        <v>530001</v>
      </c>
      <c r="C12" s="176" t="s">
        <v>100</v>
      </c>
      <c r="D12" s="95" t="s">
        <v>101</v>
      </c>
      <c r="E12" s="51">
        <v>-100</v>
      </c>
      <c r="F12" s="130">
        <v>-248675</v>
      </c>
      <c r="G12" s="51">
        <v>0</v>
      </c>
      <c r="H12" s="130">
        <v>0</v>
      </c>
    </row>
    <row r="13" spans="1:8" ht="75">
      <c r="A13" s="540"/>
      <c r="B13" s="212">
        <v>530001</v>
      </c>
      <c r="C13" s="175" t="s">
        <v>204</v>
      </c>
      <c r="D13" s="94" t="s">
        <v>205</v>
      </c>
      <c r="E13" s="192">
        <f>SUM(E14:E15)</f>
        <v>3238</v>
      </c>
      <c r="F13" s="193">
        <f t="shared" ref="F13:H13" si="3">SUM(F14:F15)</f>
        <v>1092548.5700000003</v>
      </c>
      <c r="G13" s="192">
        <f t="shared" si="3"/>
        <v>249</v>
      </c>
      <c r="H13" s="193">
        <f t="shared" si="3"/>
        <v>81370.710000000006</v>
      </c>
    </row>
    <row r="14" spans="1:8" ht="37.5">
      <c r="A14" s="540"/>
      <c r="B14" s="212">
        <v>530001</v>
      </c>
      <c r="C14" s="176" t="s">
        <v>124</v>
      </c>
      <c r="D14" s="97" t="s">
        <v>125</v>
      </c>
      <c r="E14" s="51">
        <v>2783</v>
      </c>
      <c r="F14" s="130">
        <v>909456.5700000003</v>
      </c>
      <c r="G14" s="51">
        <v>249</v>
      </c>
      <c r="H14" s="130">
        <v>81370.710000000006</v>
      </c>
    </row>
    <row r="15" spans="1:8" ht="37.5">
      <c r="A15" s="540"/>
      <c r="B15" s="213">
        <v>530001</v>
      </c>
      <c r="C15" s="176" t="s">
        <v>206</v>
      </c>
      <c r="D15" s="97" t="s">
        <v>207</v>
      </c>
      <c r="E15" s="51">
        <v>455</v>
      </c>
      <c r="F15" s="130">
        <v>183092</v>
      </c>
      <c r="G15" s="51">
        <v>0</v>
      </c>
      <c r="H15" s="130">
        <v>0</v>
      </c>
    </row>
    <row r="16" spans="1:8">
      <c r="A16" s="147">
        <v>2</v>
      </c>
      <c r="B16" s="214">
        <v>530002</v>
      </c>
      <c r="C16" s="50" t="s">
        <v>165</v>
      </c>
      <c r="D16" s="127" t="s">
        <v>169</v>
      </c>
      <c r="E16" s="128">
        <f>E17+E19</f>
        <v>0</v>
      </c>
      <c r="F16" s="129">
        <f t="shared" ref="F16:H16" si="4">F17+F19</f>
        <v>0</v>
      </c>
      <c r="G16" s="128">
        <f>G17+G19</f>
        <v>-231</v>
      </c>
      <c r="H16" s="129">
        <f t="shared" si="4"/>
        <v>-126392.15</v>
      </c>
    </row>
    <row r="17" spans="1:8">
      <c r="A17" s="539"/>
      <c r="B17" s="112">
        <v>530002</v>
      </c>
      <c r="C17" s="175" t="s">
        <v>204</v>
      </c>
      <c r="D17" s="93" t="s">
        <v>94</v>
      </c>
      <c r="E17" s="192">
        <f>E18</f>
        <v>0</v>
      </c>
      <c r="F17" s="193">
        <f t="shared" ref="F17:H17" si="5">F18</f>
        <v>0</v>
      </c>
      <c r="G17" s="192">
        <f t="shared" si="5"/>
        <v>-10</v>
      </c>
      <c r="H17" s="193">
        <f t="shared" si="5"/>
        <v>-16522</v>
      </c>
    </row>
    <row r="18" spans="1:8">
      <c r="A18" s="540"/>
      <c r="B18" s="212">
        <v>530002</v>
      </c>
      <c r="C18" s="176" t="s">
        <v>95</v>
      </c>
      <c r="D18" s="95" t="s">
        <v>96</v>
      </c>
      <c r="E18" s="51">
        <v>0</v>
      </c>
      <c r="F18" s="130">
        <v>0</v>
      </c>
      <c r="G18" s="51">
        <v>-10</v>
      </c>
      <c r="H18" s="130">
        <v>-16522</v>
      </c>
    </row>
    <row r="19" spans="1:8" ht="37.5">
      <c r="A19" s="540"/>
      <c r="B19" s="212">
        <v>530002</v>
      </c>
      <c r="C19" s="175" t="s">
        <v>204</v>
      </c>
      <c r="D19" s="93" t="s">
        <v>104</v>
      </c>
      <c r="E19" s="192">
        <f>E20</f>
        <v>0</v>
      </c>
      <c r="F19" s="193">
        <f t="shared" ref="F19:H19" si="6">F20</f>
        <v>0</v>
      </c>
      <c r="G19" s="192">
        <f t="shared" si="6"/>
        <v>-221</v>
      </c>
      <c r="H19" s="193">
        <f t="shared" si="6"/>
        <v>-109870.15</v>
      </c>
    </row>
    <row r="20" spans="1:8">
      <c r="A20" s="540"/>
      <c r="B20" s="213">
        <v>530002</v>
      </c>
      <c r="C20" s="176" t="s">
        <v>105</v>
      </c>
      <c r="D20" s="99" t="s">
        <v>106</v>
      </c>
      <c r="E20" s="51">
        <v>0</v>
      </c>
      <c r="F20" s="130">
        <v>0</v>
      </c>
      <c r="G20" s="51">
        <v>-221</v>
      </c>
      <c r="H20" s="130">
        <v>-109870.15</v>
      </c>
    </row>
    <row r="21" spans="1:8">
      <c r="A21" s="147">
        <v>3</v>
      </c>
      <c r="B21" s="214">
        <v>530011</v>
      </c>
      <c r="C21" s="50" t="s">
        <v>165</v>
      </c>
      <c r="D21" s="127" t="s">
        <v>173</v>
      </c>
      <c r="E21" s="128">
        <f>E22+E25</f>
        <v>630</v>
      </c>
      <c r="F21" s="129">
        <f t="shared" ref="F21:H21" si="7">F22+F25</f>
        <v>1126397.8899999999</v>
      </c>
      <c r="G21" s="128">
        <f t="shared" si="7"/>
        <v>273</v>
      </c>
      <c r="H21" s="129">
        <f t="shared" si="7"/>
        <v>334392.69999999995</v>
      </c>
    </row>
    <row r="22" spans="1:8">
      <c r="A22" s="539"/>
      <c r="B22" s="112">
        <v>530011</v>
      </c>
      <c r="C22" s="175" t="s">
        <v>204</v>
      </c>
      <c r="D22" s="93" t="s">
        <v>94</v>
      </c>
      <c r="E22" s="192">
        <f>SUM(E23:E24)</f>
        <v>450</v>
      </c>
      <c r="F22" s="193">
        <f t="shared" ref="F22:H22" si="8">SUM(F23:F24)</f>
        <v>977788</v>
      </c>
      <c r="G22" s="192">
        <f t="shared" si="8"/>
        <v>92</v>
      </c>
      <c r="H22" s="193">
        <f t="shared" si="8"/>
        <v>184804.12</v>
      </c>
    </row>
    <row r="23" spans="1:8">
      <c r="A23" s="540"/>
      <c r="B23" s="212">
        <v>530011</v>
      </c>
      <c r="C23" s="176" t="s">
        <v>95</v>
      </c>
      <c r="D23" s="95" t="s">
        <v>96</v>
      </c>
      <c r="E23" s="51">
        <v>400</v>
      </c>
      <c r="F23" s="130">
        <v>660880</v>
      </c>
      <c r="G23" s="51">
        <v>85</v>
      </c>
      <c r="H23" s="130">
        <v>140437</v>
      </c>
    </row>
    <row r="24" spans="1:8">
      <c r="A24" s="540"/>
      <c r="B24" s="212">
        <v>530011</v>
      </c>
      <c r="C24" s="176" t="s">
        <v>97</v>
      </c>
      <c r="D24" s="95" t="s">
        <v>98</v>
      </c>
      <c r="E24" s="51">
        <v>50</v>
      </c>
      <c r="F24" s="130">
        <v>316908</v>
      </c>
      <c r="G24" s="51">
        <v>7</v>
      </c>
      <c r="H24" s="130">
        <v>44367.119999999995</v>
      </c>
    </row>
    <row r="25" spans="1:8" ht="37.5">
      <c r="A25" s="540"/>
      <c r="B25" s="212">
        <v>530011</v>
      </c>
      <c r="C25" s="175" t="s">
        <v>204</v>
      </c>
      <c r="D25" s="93" t="s">
        <v>113</v>
      </c>
      <c r="E25" s="192">
        <f>SUM(E26:E27)</f>
        <v>180</v>
      </c>
      <c r="F25" s="193">
        <f t="shared" ref="F25:H25" si="9">SUM(F26:F27)</f>
        <v>148609.88999999996</v>
      </c>
      <c r="G25" s="192">
        <f t="shared" si="9"/>
        <v>181</v>
      </c>
      <c r="H25" s="193">
        <f t="shared" si="9"/>
        <v>149588.57999999999</v>
      </c>
    </row>
    <row r="26" spans="1:8">
      <c r="A26" s="540"/>
      <c r="B26" s="212">
        <v>530011</v>
      </c>
      <c r="C26" s="176" t="s">
        <v>114</v>
      </c>
      <c r="D26" s="97" t="s">
        <v>115</v>
      </c>
      <c r="E26" s="51">
        <v>183</v>
      </c>
      <c r="F26" s="130">
        <v>151545.95999999996</v>
      </c>
      <c r="G26" s="51">
        <v>183</v>
      </c>
      <c r="H26" s="130">
        <v>151545.96</v>
      </c>
    </row>
    <row r="27" spans="1:8">
      <c r="A27" s="540"/>
      <c r="B27" s="213">
        <v>530011</v>
      </c>
      <c r="C27" s="176" t="s">
        <v>118</v>
      </c>
      <c r="D27" s="97" t="s">
        <v>119</v>
      </c>
      <c r="E27" s="51">
        <v>-3</v>
      </c>
      <c r="F27" s="130">
        <v>-2936.0700000000015</v>
      </c>
      <c r="G27" s="51">
        <v>-2</v>
      </c>
      <c r="H27" s="130">
        <v>-1957.38</v>
      </c>
    </row>
    <row r="28" spans="1:8">
      <c r="A28" s="147">
        <v>4</v>
      </c>
      <c r="B28" s="210">
        <v>530026</v>
      </c>
      <c r="C28" s="50" t="s">
        <v>165</v>
      </c>
      <c r="D28" s="127" t="s">
        <v>177</v>
      </c>
      <c r="E28" s="128">
        <f>E29+E35</f>
        <v>215</v>
      </c>
      <c r="F28" s="129">
        <f>F29+F35</f>
        <v>127571.10999999993</v>
      </c>
      <c r="G28" s="128">
        <f>G29+G35</f>
        <v>161</v>
      </c>
      <c r="H28" s="129">
        <f>H29+H35</f>
        <v>99127.19</v>
      </c>
    </row>
    <row r="29" spans="1:8" ht="37.5">
      <c r="A29" s="539"/>
      <c r="B29" s="112">
        <v>530026</v>
      </c>
      <c r="C29" s="175" t="s">
        <v>204</v>
      </c>
      <c r="D29" s="93" t="s">
        <v>104</v>
      </c>
      <c r="E29" s="192">
        <f>SUM(E30:E34)</f>
        <v>184</v>
      </c>
      <c r="F29" s="193">
        <f>SUM(F30:F34)</f>
        <v>95106.239999999932</v>
      </c>
      <c r="G29" s="192">
        <f>SUM(G30:G34)</f>
        <v>130</v>
      </c>
      <c r="H29" s="193">
        <f>SUM(H30:H34)</f>
        <v>66662.320000000007</v>
      </c>
    </row>
    <row r="30" spans="1:8">
      <c r="A30" s="540"/>
      <c r="B30" s="212">
        <v>530026</v>
      </c>
      <c r="C30" s="176" t="s">
        <v>105</v>
      </c>
      <c r="D30" s="99" t="s">
        <v>106</v>
      </c>
      <c r="E30" s="51">
        <v>17</v>
      </c>
      <c r="F30" s="130">
        <v>8451.5499999999884</v>
      </c>
      <c r="G30" s="51">
        <v>16</v>
      </c>
      <c r="H30" s="130">
        <v>7954.4</v>
      </c>
    </row>
    <row r="31" spans="1:8" ht="37.5">
      <c r="A31" s="540"/>
      <c r="B31" s="212">
        <v>530026</v>
      </c>
      <c r="C31" s="176" t="s">
        <v>126</v>
      </c>
      <c r="D31" s="96" t="s">
        <v>127</v>
      </c>
      <c r="E31" s="51">
        <v>42</v>
      </c>
      <c r="F31" s="130">
        <v>21043.679999999993</v>
      </c>
      <c r="G31" s="51">
        <v>42</v>
      </c>
      <c r="H31" s="130">
        <v>21043.68</v>
      </c>
    </row>
    <row r="32" spans="1:8" ht="37.5">
      <c r="A32" s="540"/>
      <c r="B32" s="212">
        <v>530026</v>
      </c>
      <c r="C32" s="176" t="s">
        <v>109</v>
      </c>
      <c r="D32" s="96" t="s">
        <v>110</v>
      </c>
      <c r="E32" s="51">
        <v>17</v>
      </c>
      <c r="F32" s="130">
        <v>9023.0899999999965</v>
      </c>
      <c r="G32" s="51">
        <v>7</v>
      </c>
      <c r="H32" s="130">
        <v>3715.39</v>
      </c>
    </row>
    <row r="33" spans="1:14" ht="37.5">
      <c r="A33" s="540"/>
      <c r="B33" s="212">
        <v>530026</v>
      </c>
      <c r="C33" s="176" t="s">
        <v>111</v>
      </c>
      <c r="D33" s="96" t="s">
        <v>112</v>
      </c>
      <c r="E33" s="51">
        <v>65</v>
      </c>
      <c r="F33" s="130">
        <v>33948.849999999977</v>
      </c>
      <c r="G33" s="51">
        <v>65</v>
      </c>
      <c r="H33" s="130">
        <v>33948.85</v>
      </c>
      <c r="N33" s="216"/>
    </row>
    <row r="34" spans="1:14" ht="37.5">
      <c r="A34" s="540"/>
      <c r="B34" s="212">
        <v>530026</v>
      </c>
      <c r="C34" s="176" t="s">
        <v>128</v>
      </c>
      <c r="D34" s="96" t="s">
        <v>129</v>
      </c>
      <c r="E34" s="51">
        <v>43</v>
      </c>
      <c r="F34" s="130">
        <v>22639.069999999978</v>
      </c>
      <c r="G34" s="51">
        <v>0</v>
      </c>
      <c r="H34" s="130">
        <v>0</v>
      </c>
    </row>
    <row r="35" spans="1:14" ht="37.5">
      <c r="A35" s="540"/>
      <c r="B35" s="212">
        <v>530026</v>
      </c>
      <c r="C35" s="175" t="s">
        <v>204</v>
      </c>
      <c r="D35" s="93" t="s">
        <v>113</v>
      </c>
      <c r="E35" s="192">
        <f>SUM(E36:E37)</f>
        <v>31</v>
      </c>
      <c r="F35" s="193">
        <f t="shared" ref="F35:H35" si="10">SUM(F36:F37)</f>
        <v>32464.870000000003</v>
      </c>
      <c r="G35" s="192">
        <f t="shared" si="10"/>
        <v>31</v>
      </c>
      <c r="H35" s="193">
        <f t="shared" si="10"/>
        <v>32464.870000000003</v>
      </c>
    </row>
    <row r="36" spans="1:14">
      <c r="A36" s="540"/>
      <c r="B36" s="212">
        <v>530026</v>
      </c>
      <c r="C36" s="176" t="s">
        <v>114</v>
      </c>
      <c r="D36" s="97" t="s">
        <v>115</v>
      </c>
      <c r="E36" s="51">
        <v>24</v>
      </c>
      <c r="F36" s="130">
        <v>19874.880000000005</v>
      </c>
      <c r="G36" s="51">
        <v>24</v>
      </c>
      <c r="H36" s="130">
        <v>19874.88</v>
      </c>
    </row>
    <row r="37" spans="1:14">
      <c r="A37" s="540"/>
      <c r="B37" s="213">
        <v>530026</v>
      </c>
      <c r="C37" s="176" t="s">
        <v>116</v>
      </c>
      <c r="D37" s="97" t="s">
        <v>117</v>
      </c>
      <c r="E37" s="51">
        <v>7</v>
      </c>
      <c r="F37" s="130">
        <v>12589.989999999998</v>
      </c>
      <c r="G37" s="51">
        <v>7</v>
      </c>
      <c r="H37" s="130">
        <v>12589.99</v>
      </c>
    </row>
    <row r="38" spans="1:14">
      <c r="A38" s="147">
        <v>5</v>
      </c>
      <c r="B38" s="210">
        <v>530034</v>
      </c>
      <c r="C38" s="50" t="s">
        <v>165</v>
      </c>
      <c r="D38" s="127" t="s">
        <v>195</v>
      </c>
      <c r="E38" s="128">
        <f>E39</f>
        <v>0</v>
      </c>
      <c r="F38" s="129">
        <f t="shared" ref="F38:H38" si="11">F39</f>
        <v>0</v>
      </c>
      <c r="G38" s="128">
        <f t="shared" si="11"/>
        <v>-3</v>
      </c>
      <c r="H38" s="129">
        <f t="shared" si="11"/>
        <v>-5395.71</v>
      </c>
    </row>
    <row r="39" spans="1:14" ht="37.5">
      <c r="A39" s="539"/>
      <c r="B39" s="112">
        <v>530034</v>
      </c>
      <c r="C39" s="175" t="s">
        <v>204</v>
      </c>
      <c r="D39" s="93" t="s">
        <v>113</v>
      </c>
      <c r="E39" s="192">
        <f>E40</f>
        <v>0</v>
      </c>
      <c r="F39" s="193">
        <f t="shared" ref="F39:H39" si="12">F40</f>
        <v>0</v>
      </c>
      <c r="G39" s="192">
        <f t="shared" si="12"/>
        <v>-3</v>
      </c>
      <c r="H39" s="193">
        <f t="shared" si="12"/>
        <v>-5395.71</v>
      </c>
    </row>
    <row r="40" spans="1:14">
      <c r="A40" s="540"/>
      <c r="B40" s="213">
        <v>530034</v>
      </c>
      <c r="C40" s="176" t="s">
        <v>116</v>
      </c>
      <c r="D40" s="97" t="s">
        <v>117</v>
      </c>
      <c r="E40" s="51">
        <v>0</v>
      </c>
      <c r="F40" s="130">
        <v>0</v>
      </c>
      <c r="G40" s="51">
        <v>-3</v>
      </c>
      <c r="H40" s="130">
        <v>-5395.71</v>
      </c>
    </row>
    <row r="41" spans="1:14">
      <c r="A41" s="147">
        <v>6</v>
      </c>
      <c r="B41" s="211">
        <v>530037</v>
      </c>
      <c r="C41" s="50" t="s">
        <v>165</v>
      </c>
      <c r="D41" s="127" t="s">
        <v>20</v>
      </c>
      <c r="E41" s="128">
        <f>E42</f>
        <v>0</v>
      </c>
      <c r="F41" s="129">
        <f t="shared" ref="F41:H42" si="13">F42</f>
        <v>0</v>
      </c>
      <c r="G41" s="128">
        <f t="shared" si="13"/>
        <v>-25</v>
      </c>
      <c r="H41" s="129">
        <f t="shared" si="13"/>
        <v>-20703</v>
      </c>
    </row>
    <row r="42" spans="1:14" ht="37.5">
      <c r="A42" s="541"/>
      <c r="B42" s="112">
        <v>530037</v>
      </c>
      <c r="C42" s="175" t="s">
        <v>204</v>
      </c>
      <c r="D42" s="93" t="s">
        <v>113</v>
      </c>
      <c r="E42" s="192">
        <f>E43</f>
        <v>0</v>
      </c>
      <c r="F42" s="193">
        <f t="shared" si="13"/>
        <v>0</v>
      </c>
      <c r="G42" s="192">
        <f t="shared" si="13"/>
        <v>-25</v>
      </c>
      <c r="H42" s="193">
        <f t="shared" si="13"/>
        <v>-20703</v>
      </c>
    </row>
    <row r="43" spans="1:14">
      <c r="A43" s="542"/>
      <c r="B43" s="213">
        <v>530037</v>
      </c>
      <c r="C43" s="176" t="s">
        <v>114</v>
      </c>
      <c r="D43" s="97" t="s">
        <v>115</v>
      </c>
      <c r="E43" s="51">
        <v>0</v>
      </c>
      <c r="F43" s="130">
        <v>0</v>
      </c>
      <c r="G43" s="51">
        <v>-25</v>
      </c>
      <c r="H43" s="130">
        <v>-20703</v>
      </c>
    </row>
    <row r="44" spans="1:14">
      <c r="A44" s="147">
        <v>7</v>
      </c>
      <c r="B44" s="210">
        <v>530042</v>
      </c>
      <c r="C44" s="50" t="s">
        <v>165</v>
      </c>
      <c r="D44" s="127" t="s">
        <v>180</v>
      </c>
      <c r="E44" s="128">
        <f>E45</f>
        <v>0</v>
      </c>
      <c r="F44" s="128">
        <f t="shared" ref="F44:H44" si="14">F45</f>
        <v>0</v>
      </c>
      <c r="G44" s="128">
        <f t="shared" si="14"/>
        <v>-10</v>
      </c>
      <c r="H44" s="129">
        <f t="shared" si="14"/>
        <v>-8281.2000000000007</v>
      </c>
    </row>
    <row r="45" spans="1:14" ht="37.5">
      <c r="A45" s="541"/>
      <c r="B45" s="279"/>
      <c r="C45" s="175" t="s">
        <v>204</v>
      </c>
      <c r="D45" s="93" t="s">
        <v>113</v>
      </c>
      <c r="E45" s="192">
        <f>E46</f>
        <v>0</v>
      </c>
      <c r="F45" s="193">
        <f t="shared" ref="F45:H45" si="15">F46</f>
        <v>0</v>
      </c>
      <c r="G45" s="192">
        <f t="shared" si="15"/>
        <v>-10</v>
      </c>
      <c r="H45" s="193">
        <f t="shared" si="15"/>
        <v>-8281.2000000000007</v>
      </c>
    </row>
    <row r="46" spans="1:14">
      <c r="A46" s="542"/>
      <c r="B46" s="280"/>
      <c r="C46" s="176" t="s">
        <v>114</v>
      </c>
      <c r="D46" s="97" t="s">
        <v>115</v>
      </c>
      <c r="E46" s="51">
        <v>0</v>
      </c>
      <c r="F46" s="130">
        <v>0</v>
      </c>
      <c r="G46" s="51">
        <v>-10</v>
      </c>
      <c r="H46" s="130">
        <v>-8281.2000000000007</v>
      </c>
    </row>
    <row r="47" spans="1:14">
      <c r="A47" s="147">
        <v>8</v>
      </c>
      <c r="B47" s="214">
        <v>530046</v>
      </c>
      <c r="C47" s="50" t="s">
        <v>165</v>
      </c>
      <c r="D47" s="127" t="s">
        <v>181</v>
      </c>
      <c r="E47" s="128">
        <f>E48</f>
        <v>0</v>
      </c>
      <c r="F47" s="129">
        <f t="shared" ref="F47:H48" si="16">F48</f>
        <v>0</v>
      </c>
      <c r="G47" s="128">
        <f t="shared" si="16"/>
        <v>-4</v>
      </c>
      <c r="H47" s="129">
        <f t="shared" si="16"/>
        <v>-1988.6</v>
      </c>
    </row>
    <row r="48" spans="1:14" ht="37.5">
      <c r="A48" s="539"/>
      <c r="B48" s="112">
        <v>530046</v>
      </c>
      <c r="C48" s="175" t="s">
        <v>204</v>
      </c>
      <c r="D48" s="93" t="s">
        <v>104</v>
      </c>
      <c r="E48" s="192">
        <f>E49</f>
        <v>0</v>
      </c>
      <c r="F48" s="193">
        <f t="shared" si="16"/>
        <v>0</v>
      </c>
      <c r="G48" s="192">
        <f t="shared" si="16"/>
        <v>-4</v>
      </c>
      <c r="H48" s="193">
        <f t="shared" si="16"/>
        <v>-1988.6</v>
      </c>
    </row>
    <row r="49" spans="1:8">
      <c r="A49" s="540"/>
      <c r="B49" s="213">
        <v>530046</v>
      </c>
      <c r="C49" s="176" t="s">
        <v>105</v>
      </c>
      <c r="D49" s="99" t="s">
        <v>106</v>
      </c>
      <c r="E49" s="51">
        <v>0</v>
      </c>
      <c r="F49" s="130">
        <v>0</v>
      </c>
      <c r="G49" s="51">
        <v>-4</v>
      </c>
      <c r="H49" s="130">
        <v>-1988.6</v>
      </c>
    </row>
    <row r="50" spans="1:8">
      <c r="A50" s="147">
        <v>9</v>
      </c>
      <c r="B50" s="214">
        <v>530050</v>
      </c>
      <c r="C50" s="50" t="s">
        <v>165</v>
      </c>
      <c r="D50" s="127" t="s">
        <v>182</v>
      </c>
      <c r="E50" s="128">
        <f t="shared" ref="E50:F50" si="17">E51+E54+E57+E60</f>
        <v>320</v>
      </c>
      <c r="F50" s="129">
        <f t="shared" si="17"/>
        <v>775887.6</v>
      </c>
      <c r="G50" s="128">
        <f>G51+G54+G57+G60</f>
        <v>-153</v>
      </c>
      <c r="H50" s="129">
        <f>H51+H54+H57+H60</f>
        <v>128214.56999999999</v>
      </c>
    </row>
    <row r="51" spans="1:8">
      <c r="A51" s="541"/>
      <c r="B51" s="112">
        <v>530050</v>
      </c>
      <c r="C51" s="175" t="s">
        <v>204</v>
      </c>
      <c r="D51" s="93" t="s">
        <v>94</v>
      </c>
      <c r="E51" s="192">
        <f>SUM(E52:E53)</f>
        <v>0</v>
      </c>
      <c r="F51" s="193">
        <f t="shared" ref="F51:H51" si="18">SUM(F52:F53)</f>
        <v>0</v>
      </c>
      <c r="G51" s="192">
        <f t="shared" si="18"/>
        <v>-4</v>
      </c>
      <c r="H51" s="193">
        <f t="shared" si="18"/>
        <v>-15980.72</v>
      </c>
    </row>
    <row r="52" spans="1:8">
      <c r="A52" s="543"/>
      <c r="B52" s="212">
        <v>530050</v>
      </c>
      <c r="C52" s="176" t="s">
        <v>95</v>
      </c>
      <c r="D52" s="95" t="s">
        <v>96</v>
      </c>
      <c r="E52" s="51">
        <v>0</v>
      </c>
      <c r="F52" s="130">
        <v>0</v>
      </c>
      <c r="G52" s="51">
        <v>-2</v>
      </c>
      <c r="H52" s="130">
        <v>-3304.4</v>
      </c>
    </row>
    <row r="53" spans="1:8">
      <c r="A53" s="543"/>
      <c r="B53" s="212">
        <v>530050</v>
      </c>
      <c r="C53" s="176" t="s">
        <v>97</v>
      </c>
      <c r="D53" s="95" t="s">
        <v>98</v>
      </c>
      <c r="E53" s="51">
        <v>0</v>
      </c>
      <c r="F53" s="130">
        <v>0</v>
      </c>
      <c r="G53" s="51">
        <v>-2</v>
      </c>
      <c r="H53" s="130">
        <v>-12676.32</v>
      </c>
    </row>
    <row r="54" spans="1:8" ht="37.5">
      <c r="A54" s="543"/>
      <c r="B54" s="212">
        <v>530050</v>
      </c>
      <c r="C54" s="175" t="s">
        <v>204</v>
      </c>
      <c r="D54" s="98" t="s">
        <v>130</v>
      </c>
      <c r="E54" s="192">
        <f>SUM(E55:E56)</f>
        <v>20</v>
      </c>
      <c r="F54" s="193">
        <f t="shared" ref="F54:H54" si="19">SUM(F55:F56)</f>
        <v>140767.59999999998</v>
      </c>
      <c r="G54" s="192">
        <f t="shared" si="19"/>
        <v>0</v>
      </c>
      <c r="H54" s="193">
        <f t="shared" si="19"/>
        <v>0</v>
      </c>
    </row>
    <row r="55" spans="1:8">
      <c r="A55" s="543"/>
      <c r="B55" s="212">
        <v>530050</v>
      </c>
      <c r="C55" s="176" t="s">
        <v>131</v>
      </c>
      <c r="D55" s="97" t="s">
        <v>132</v>
      </c>
      <c r="E55" s="51">
        <v>5</v>
      </c>
      <c r="F55" s="130">
        <v>48689.949999999953</v>
      </c>
      <c r="G55" s="51">
        <v>0</v>
      </c>
      <c r="H55" s="130">
        <v>0</v>
      </c>
    </row>
    <row r="56" spans="1:8">
      <c r="A56" s="543"/>
      <c r="B56" s="212">
        <v>530050</v>
      </c>
      <c r="C56" s="176" t="s">
        <v>133</v>
      </c>
      <c r="D56" s="97" t="s">
        <v>208</v>
      </c>
      <c r="E56" s="51">
        <v>15</v>
      </c>
      <c r="F56" s="130">
        <v>92077.650000000023</v>
      </c>
      <c r="G56" s="51">
        <v>0</v>
      </c>
      <c r="H56" s="130">
        <v>0</v>
      </c>
    </row>
    <row r="57" spans="1:8" ht="56.25">
      <c r="A57" s="543"/>
      <c r="B57" s="212">
        <v>530050</v>
      </c>
      <c r="C57" s="175" t="s">
        <v>204</v>
      </c>
      <c r="D57" s="98" t="s">
        <v>209</v>
      </c>
      <c r="E57" s="192">
        <f>SUM(E58:E59)</f>
        <v>300</v>
      </c>
      <c r="F57" s="193">
        <f t="shared" ref="F57:H57" si="20">SUM(F58:F59)</f>
        <v>635120</v>
      </c>
      <c r="G57" s="192">
        <f t="shared" si="20"/>
        <v>100</v>
      </c>
      <c r="H57" s="193">
        <f t="shared" si="20"/>
        <v>225566</v>
      </c>
    </row>
    <row r="58" spans="1:8">
      <c r="A58" s="543"/>
      <c r="B58" s="212">
        <v>530050</v>
      </c>
      <c r="C58" s="176" t="s">
        <v>120</v>
      </c>
      <c r="D58" s="97" t="s">
        <v>121</v>
      </c>
      <c r="E58" s="51">
        <v>200</v>
      </c>
      <c r="F58" s="130">
        <v>409554</v>
      </c>
      <c r="G58" s="51">
        <v>0</v>
      </c>
      <c r="H58" s="130">
        <v>0</v>
      </c>
    </row>
    <row r="59" spans="1:8">
      <c r="A59" s="543"/>
      <c r="B59" s="212">
        <v>530050</v>
      </c>
      <c r="C59" s="176" t="s">
        <v>122</v>
      </c>
      <c r="D59" s="97" t="s">
        <v>123</v>
      </c>
      <c r="E59" s="51">
        <v>100</v>
      </c>
      <c r="F59" s="130">
        <v>225566</v>
      </c>
      <c r="G59" s="51">
        <v>100</v>
      </c>
      <c r="H59" s="130">
        <v>225566</v>
      </c>
    </row>
    <row r="60" spans="1:8" ht="75">
      <c r="A60" s="543"/>
      <c r="B60" s="212">
        <v>530050</v>
      </c>
      <c r="C60" s="175" t="s">
        <v>204</v>
      </c>
      <c r="D60" s="94" t="s">
        <v>205</v>
      </c>
      <c r="E60" s="192">
        <f>E61</f>
        <v>0</v>
      </c>
      <c r="F60" s="193">
        <f t="shared" ref="F60:H60" si="21">F61</f>
        <v>0</v>
      </c>
      <c r="G60" s="192">
        <f t="shared" si="21"/>
        <v>-249</v>
      </c>
      <c r="H60" s="193">
        <f t="shared" si="21"/>
        <v>-81370.710000000006</v>
      </c>
    </row>
    <row r="61" spans="1:8" ht="37.5">
      <c r="A61" s="543"/>
      <c r="B61" s="213">
        <v>530050</v>
      </c>
      <c r="C61" s="176" t="s">
        <v>124</v>
      </c>
      <c r="D61" s="97" t="s">
        <v>125</v>
      </c>
      <c r="E61" s="51">
        <v>0</v>
      </c>
      <c r="F61" s="130">
        <v>0</v>
      </c>
      <c r="G61" s="51">
        <v>-249</v>
      </c>
      <c r="H61" s="130">
        <v>-81370.710000000006</v>
      </c>
    </row>
    <row r="62" spans="1:8">
      <c r="A62" s="147">
        <v>10</v>
      </c>
      <c r="B62" s="214">
        <v>530052</v>
      </c>
      <c r="C62" s="50" t="s">
        <v>165</v>
      </c>
      <c r="D62" s="127" t="s">
        <v>183</v>
      </c>
      <c r="E62" s="128">
        <f>E63+E68</f>
        <v>79</v>
      </c>
      <c r="F62" s="129">
        <f>F63+F68</f>
        <v>38654.529999999977</v>
      </c>
      <c r="G62" s="128">
        <f>G63+G68</f>
        <v>14</v>
      </c>
      <c r="H62" s="129">
        <f>H63+H68</f>
        <v>-11369.730000000007</v>
      </c>
    </row>
    <row r="63" spans="1:8" ht="37.5">
      <c r="A63" s="541"/>
      <c r="B63" s="112">
        <v>530052</v>
      </c>
      <c r="C63" s="175" t="s">
        <v>204</v>
      </c>
      <c r="D63" s="93" t="s">
        <v>104</v>
      </c>
      <c r="E63" s="192">
        <f>SUM(E64:E67)</f>
        <v>79</v>
      </c>
      <c r="F63" s="193">
        <f>SUM(F64:F67)</f>
        <v>38654.529999999977</v>
      </c>
      <c r="G63" s="192">
        <f>SUM(G64:G67)</f>
        <v>67</v>
      </c>
      <c r="H63" s="193">
        <f>SUM(H64:H67)</f>
        <v>32520.629999999994</v>
      </c>
    </row>
    <row r="64" spans="1:8">
      <c r="A64" s="543"/>
      <c r="B64" s="212">
        <v>530052</v>
      </c>
      <c r="C64" s="176" t="s">
        <v>105</v>
      </c>
      <c r="D64" s="99" t="s">
        <v>106</v>
      </c>
      <c r="E64" s="51">
        <v>103</v>
      </c>
      <c r="F64" s="130">
        <v>51206.449999999953</v>
      </c>
      <c r="G64" s="51">
        <v>96</v>
      </c>
      <c r="H64" s="130">
        <v>47726.399999999994</v>
      </c>
    </row>
    <row r="65" spans="1:8" ht="37.5">
      <c r="A65" s="543"/>
      <c r="B65" s="212">
        <v>530052</v>
      </c>
      <c r="C65" s="176" t="s">
        <v>107</v>
      </c>
      <c r="D65" s="96" t="s">
        <v>108</v>
      </c>
      <c r="E65" s="51">
        <v>6</v>
      </c>
      <c r="F65" s="130">
        <v>3133.7400000000198</v>
      </c>
      <c r="G65" s="51">
        <v>6</v>
      </c>
      <c r="H65" s="130">
        <v>3133.74</v>
      </c>
    </row>
    <row r="66" spans="1:8" ht="37.5">
      <c r="A66" s="543"/>
      <c r="B66" s="212">
        <v>530052</v>
      </c>
      <c r="C66" s="176" t="s">
        <v>109</v>
      </c>
      <c r="D66" s="96" t="s">
        <v>110</v>
      </c>
      <c r="E66" s="51">
        <v>-2</v>
      </c>
      <c r="F66" s="130">
        <v>-1061.5400000000009</v>
      </c>
      <c r="G66" s="51">
        <v>-7</v>
      </c>
      <c r="H66" s="130">
        <v>-3715.39</v>
      </c>
    </row>
    <row r="67" spans="1:8" ht="37.5">
      <c r="A67" s="543"/>
      <c r="B67" s="212">
        <v>530052</v>
      </c>
      <c r="C67" s="176" t="s">
        <v>111</v>
      </c>
      <c r="D67" s="96" t="s">
        <v>112</v>
      </c>
      <c r="E67" s="51">
        <v>-28</v>
      </c>
      <c r="F67" s="130">
        <v>-14624.119999999995</v>
      </c>
      <c r="G67" s="51">
        <v>-28</v>
      </c>
      <c r="H67" s="130">
        <v>-14624.119999999999</v>
      </c>
    </row>
    <row r="68" spans="1:8" ht="37.5">
      <c r="A68" s="543"/>
      <c r="B68" s="212">
        <v>530052</v>
      </c>
      <c r="C68" s="175" t="s">
        <v>204</v>
      </c>
      <c r="D68" s="93" t="s">
        <v>113</v>
      </c>
      <c r="E68" s="192">
        <f>E69</f>
        <v>0</v>
      </c>
      <c r="F68" s="193">
        <f t="shared" ref="F68:H68" si="22">F69</f>
        <v>0</v>
      </c>
      <c r="G68" s="192">
        <f t="shared" si="22"/>
        <v>-53</v>
      </c>
      <c r="H68" s="193">
        <f t="shared" si="22"/>
        <v>-43890.36</v>
      </c>
    </row>
    <row r="69" spans="1:8">
      <c r="A69" s="543"/>
      <c r="B69" s="213">
        <v>530052</v>
      </c>
      <c r="C69" s="176" t="s">
        <v>114</v>
      </c>
      <c r="D69" s="97" t="s">
        <v>115</v>
      </c>
      <c r="E69" s="51">
        <v>0</v>
      </c>
      <c r="F69" s="130">
        <v>0</v>
      </c>
      <c r="G69" s="51">
        <v>-53</v>
      </c>
      <c r="H69" s="130">
        <v>-43890.36</v>
      </c>
    </row>
    <row r="70" spans="1:8">
      <c r="A70" s="147">
        <v>11</v>
      </c>
      <c r="B70" s="214">
        <v>530153</v>
      </c>
      <c r="C70" s="50" t="s">
        <v>165</v>
      </c>
      <c r="D70" s="127" t="s">
        <v>201</v>
      </c>
      <c r="E70" s="128">
        <f>E71</f>
        <v>0</v>
      </c>
      <c r="F70" s="129">
        <f t="shared" ref="F70:H70" si="23">F71</f>
        <v>0</v>
      </c>
      <c r="G70" s="128">
        <f>G71</f>
        <v>-14</v>
      </c>
      <c r="H70" s="129">
        <f t="shared" si="23"/>
        <v>-6960.0999999999995</v>
      </c>
    </row>
    <row r="71" spans="1:8" ht="37.5">
      <c r="A71" s="541"/>
      <c r="B71" s="112">
        <v>530153</v>
      </c>
      <c r="C71" s="175" t="s">
        <v>204</v>
      </c>
      <c r="D71" s="93" t="s">
        <v>104</v>
      </c>
      <c r="E71" s="192">
        <f>E72</f>
        <v>0</v>
      </c>
      <c r="F71" s="193">
        <f t="shared" ref="F71:H71" si="24">F72</f>
        <v>0</v>
      </c>
      <c r="G71" s="192">
        <f>G72</f>
        <v>-14</v>
      </c>
      <c r="H71" s="193">
        <f t="shared" si="24"/>
        <v>-6960.0999999999995</v>
      </c>
    </row>
    <row r="72" spans="1:8">
      <c r="A72" s="543"/>
      <c r="B72" s="212">
        <v>530153</v>
      </c>
      <c r="C72" s="176" t="s">
        <v>105</v>
      </c>
      <c r="D72" s="99" t="s">
        <v>106</v>
      </c>
      <c r="E72" s="51">
        <v>0</v>
      </c>
      <c r="F72" s="130">
        <v>0</v>
      </c>
      <c r="G72" s="51">
        <v>-14</v>
      </c>
      <c r="H72" s="130">
        <v>-6960.0999999999995</v>
      </c>
    </row>
    <row r="73" spans="1:8">
      <c r="A73" s="147">
        <v>12</v>
      </c>
      <c r="B73" s="210">
        <v>530154</v>
      </c>
      <c r="C73" s="50" t="s">
        <v>165</v>
      </c>
      <c r="D73" s="127" t="s">
        <v>188</v>
      </c>
      <c r="E73" s="128">
        <f>E74</f>
        <v>0</v>
      </c>
      <c r="F73" s="129">
        <f t="shared" ref="F73:H73" si="25">F74</f>
        <v>0</v>
      </c>
      <c r="G73" s="128">
        <f t="shared" si="25"/>
        <v>-4</v>
      </c>
      <c r="H73" s="129">
        <f t="shared" si="25"/>
        <v>-1988.6</v>
      </c>
    </row>
    <row r="74" spans="1:8" ht="37.5">
      <c r="A74" s="539"/>
      <c r="B74" s="112">
        <v>530154</v>
      </c>
      <c r="C74" s="175" t="s">
        <v>204</v>
      </c>
      <c r="D74" s="93" t="s">
        <v>104</v>
      </c>
      <c r="E74" s="192">
        <f>E75</f>
        <v>0</v>
      </c>
      <c r="F74" s="193">
        <f t="shared" ref="F74:H74" si="26">F75</f>
        <v>0</v>
      </c>
      <c r="G74" s="192">
        <f t="shared" si="26"/>
        <v>-4</v>
      </c>
      <c r="H74" s="193">
        <f t="shared" si="26"/>
        <v>-1988.6</v>
      </c>
    </row>
    <row r="75" spans="1:8">
      <c r="A75" s="540"/>
      <c r="B75" s="213">
        <v>530154</v>
      </c>
      <c r="C75" s="176" t="s">
        <v>105</v>
      </c>
      <c r="D75" s="99" t="s">
        <v>106</v>
      </c>
      <c r="E75" s="51">
        <v>0</v>
      </c>
      <c r="F75" s="130">
        <v>0</v>
      </c>
      <c r="G75" s="51">
        <v>-4</v>
      </c>
      <c r="H75" s="130">
        <v>-1988.6</v>
      </c>
    </row>
    <row r="76" spans="1:8" ht="37.5">
      <c r="A76" s="147">
        <v>13</v>
      </c>
      <c r="B76" s="214">
        <v>530156</v>
      </c>
      <c r="C76" s="50" t="s">
        <v>165</v>
      </c>
      <c r="D76" s="127" t="s">
        <v>189</v>
      </c>
      <c r="E76" s="128">
        <f>E77+E80</f>
        <v>0</v>
      </c>
      <c r="F76" s="129">
        <f t="shared" ref="F76:H76" si="27">F77+F80</f>
        <v>0</v>
      </c>
      <c r="G76" s="128">
        <f t="shared" si="27"/>
        <v>-235</v>
      </c>
      <c r="H76" s="129">
        <f t="shared" si="27"/>
        <v>-158243.47999999998</v>
      </c>
    </row>
    <row r="77" spans="1:8" ht="37.5">
      <c r="A77" s="541"/>
      <c r="B77" s="112">
        <v>530156</v>
      </c>
      <c r="C77" s="175" t="s">
        <v>204</v>
      </c>
      <c r="D77" s="93" t="s">
        <v>104</v>
      </c>
      <c r="E77" s="192">
        <f>SUM(E78:E79)</f>
        <v>0</v>
      </c>
      <c r="F77" s="193">
        <v>0</v>
      </c>
      <c r="G77" s="192">
        <v>-112</v>
      </c>
      <c r="H77" s="193">
        <v>-56384.72</v>
      </c>
    </row>
    <row r="78" spans="1:8">
      <c r="A78" s="543"/>
      <c r="B78" s="212">
        <v>530156</v>
      </c>
      <c r="C78" s="176" t="s">
        <v>105</v>
      </c>
      <c r="D78" s="99" t="s">
        <v>106</v>
      </c>
      <c r="E78" s="51">
        <v>0</v>
      </c>
      <c r="F78" s="130">
        <v>0</v>
      </c>
      <c r="G78" s="51">
        <v>-84</v>
      </c>
      <c r="H78" s="130">
        <v>-41760.6</v>
      </c>
    </row>
    <row r="79" spans="1:8" ht="37.5">
      <c r="A79" s="543"/>
      <c r="B79" s="212">
        <v>530156</v>
      </c>
      <c r="C79" s="176" t="s">
        <v>111</v>
      </c>
      <c r="D79" s="96" t="s">
        <v>112</v>
      </c>
      <c r="E79" s="51">
        <v>0</v>
      </c>
      <c r="F79" s="130">
        <v>0</v>
      </c>
      <c r="G79" s="51">
        <v>-28</v>
      </c>
      <c r="H79" s="130">
        <v>-14624.119999999999</v>
      </c>
    </row>
    <row r="80" spans="1:8" ht="37.5">
      <c r="A80" s="543"/>
      <c r="B80" s="212"/>
      <c r="C80" s="175" t="s">
        <v>204</v>
      </c>
      <c r="D80" s="93" t="s">
        <v>113</v>
      </c>
      <c r="E80" s="192">
        <f>E81</f>
        <v>0</v>
      </c>
      <c r="F80" s="193">
        <f t="shared" ref="F80:H80" si="28">F81</f>
        <v>0</v>
      </c>
      <c r="G80" s="192">
        <f t="shared" si="28"/>
        <v>-123</v>
      </c>
      <c r="H80" s="193">
        <f t="shared" si="28"/>
        <v>-101858.76</v>
      </c>
    </row>
    <row r="81" spans="1:8">
      <c r="A81" s="542"/>
      <c r="B81" s="213"/>
      <c r="C81" s="176" t="s">
        <v>114</v>
      </c>
      <c r="D81" s="97" t="s">
        <v>115</v>
      </c>
      <c r="E81" s="51">
        <v>0</v>
      </c>
      <c r="F81" s="130">
        <v>0</v>
      </c>
      <c r="G81" s="51">
        <v>-123</v>
      </c>
      <c r="H81" s="130">
        <v>-101858.76</v>
      </c>
    </row>
    <row r="82" spans="1:8">
      <c r="A82" s="147">
        <v>14</v>
      </c>
      <c r="B82" s="211">
        <v>530171</v>
      </c>
      <c r="C82" s="50" t="s">
        <v>165</v>
      </c>
      <c r="D82" s="127" t="s">
        <v>219</v>
      </c>
      <c r="E82" s="128">
        <f>E83+E86+E89+E94+E98</f>
        <v>-188</v>
      </c>
      <c r="F82" s="129">
        <f t="shared" ref="F82:H82" si="29">F83+F86+F89+F94+F98</f>
        <v>-1583746.2200000007</v>
      </c>
      <c r="G82" s="128">
        <f>G83+G86+G89+G94+G98</f>
        <v>68</v>
      </c>
      <c r="H82" s="129">
        <f t="shared" si="29"/>
        <v>-115568.04999999999</v>
      </c>
    </row>
    <row r="83" spans="1:8">
      <c r="A83" s="541"/>
      <c r="B83" s="112">
        <v>530171</v>
      </c>
      <c r="C83" s="175" t="s">
        <v>204</v>
      </c>
      <c r="D83" s="93" t="s">
        <v>94</v>
      </c>
      <c r="E83" s="192">
        <f>SUM(E84:E85)</f>
        <v>190</v>
      </c>
      <c r="F83" s="193">
        <f t="shared" ref="F83:H83" si="30">SUM(F84:F85)</f>
        <v>501356.39999999944</v>
      </c>
      <c r="G83" s="192">
        <f t="shared" si="30"/>
        <v>43</v>
      </c>
      <c r="H83" s="193">
        <f t="shared" si="30"/>
        <v>99160.36</v>
      </c>
    </row>
    <row r="84" spans="1:8">
      <c r="A84" s="543"/>
      <c r="B84" s="212">
        <v>530171</v>
      </c>
      <c r="C84" s="176" t="s">
        <v>95</v>
      </c>
      <c r="D84" s="95" t="s">
        <v>96</v>
      </c>
      <c r="E84" s="51">
        <v>150</v>
      </c>
      <c r="F84" s="130">
        <v>247830</v>
      </c>
      <c r="G84" s="51">
        <v>37</v>
      </c>
      <c r="H84" s="130">
        <v>61131.4</v>
      </c>
    </row>
    <row r="85" spans="1:8">
      <c r="A85" s="543"/>
      <c r="B85" s="212">
        <v>530171</v>
      </c>
      <c r="C85" s="176" t="s">
        <v>97</v>
      </c>
      <c r="D85" s="95" t="s">
        <v>98</v>
      </c>
      <c r="E85" s="51">
        <v>40</v>
      </c>
      <c r="F85" s="130">
        <v>253526.39999999944</v>
      </c>
      <c r="G85" s="51">
        <v>6</v>
      </c>
      <c r="H85" s="130">
        <v>38028.959999999999</v>
      </c>
    </row>
    <row r="86" spans="1:8">
      <c r="A86" s="543"/>
      <c r="B86" s="212">
        <v>530171</v>
      </c>
      <c r="C86" s="175" t="s">
        <v>204</v>
      </c>
      <c r="D86" s="93" t="s">
        <v>99</v>
      </c>
      <c r="E86" s="192">
        <f>SUM(E87:E88)</f>
        <v>-630</v>
      </c>
      <c r="F86" s="193">
        <f t="shared" ref="F86:H86" si="31">SUM(F87:F88)</f>
        <v>-2213861.5</v>
      </c>
      <c r="G86" s="192">
        <f t="shared" si="31"/>
        <v>0</v>
      </c>
      <c r="H86" s="193">
        <f t="shared" si="31"/>
        <v>0</v>
      </c>
    </row>
    <row r="87" spans="1:8">
      <c r="A87" s="543"/>
      <c r="B87" s="212">
        <v>530171</v>
      </c>
      <c r="C87" s="176" t="s">
        <v>100</v>
      </c>
      <c r="D87" s="95" t="s">
        <v>101</v>
      </c>
      <c r="E87" s="51">
        <v>-530</v>
      </c>
      <c r="F87" s="130">
        <v>-1317977.5</v>
      </c>
      <c r="G87" s="51">
        <v>0</v>
      </c>
      <c r="H87" s="130">
        <v>0</v>
      </c>
    </row>
    <row r="88" spans="1:8" ht="37.5">
      <c r="A88" s="543"/>
      <c r="B88" s="212">
        <v>530171</v>
      </c>
      <c r="C88" s="176" t="s">
        <v>102</v>
      </c>
      <c r="D88" s="95" t="s">
        <v>103</v>
      </c>
      <c r="E88" s="51">
        <v>-100</v>
      </c>
      <c r="F88" s="130">
        <v>-895884</v>
      </c>
      <c r="G88" s="51">
        <v>0</v>
      </c>
      <c r="H88" s="130">
        <v>0</v>
      </c>
    </row>
    <row r="89" spans="1:8" ht="37.5">
      <c r="A89" s="543"/>
      <c r="B89" s="212">
        <v>530171</v>
      </c>
      <c r="C89" s="175" t="s">
        <v>204</v>
      </c>
      <c r="D89" s="93" t="s">
        <v>104</v>
      </c>
      <c r="E89" s="192">
        <f>SUM(E90:E93)</f>
        <v>250</v>
      </c>
      <c r="F89" s="193">
        <f t="shared" ref="F89:H89" si="32">SUM(F90:F93)</f>
        <v>126801.50000000001</v>
      </c>
      <c r="G89" s="192">
        <f t="shared" si="32"/>
        <v>232</v>
      </c>
      <c r="H89" s="193">
        <f t="shared" si="32"/>
        <v>117583.84</v>
      </c>
    </row>
    <row r="90" spans="1:8">
      <c r="A90" s="543"/>
      <c r="B90" s="212">
        <v>530171</v>
      </c>
      <c r="C90" s="176" t="s">
        <v>105</v>
      </c>
      <c r="D90" s="99" t="s">
        <v>106</v>
      </c>
      <c r="E90" s="51">
        <v>150</v>
      </c>
      <c r="F90" s="130">
        <v>74572.5</v>
      </c>
      <c r="G90" s="51">
        <v>140</v>
      </c>
      <c r="H90" s="130">
        <v>69601</v>
      </c>
    </row>
    <row r="91" spans="1:8" ht="37.5">
      <c r="A91" s="543"/>
      <c r="B91" s="212">
        <v>530171</v>
      </c>
      <c r="C91" s="176" t="s">
        <v>107</v>
      </c>
      <c r="D91" s="96" t="s">
        <v>108</v>
      </c>
      <c r="E91" s="51">
        <v>20</v>
      </c>
      <c r="F91" s="130">
        <v>10445.800000000003</v>
      </c>
      <c r="G91" s="51">
        <v>20</v>
      </c>
      <c r="H91" s="130">
        <v>10445.799999999999</v>
      </c>
    </row>
    <row r="92" spans="1:8" ht="37.5">
      <c r="A92" s="543"/>
      <c r="B92" s="212">
        <v>530171</v>
      </c>
      <c r="C92" s="176" t="s">
        <v>109</v>
      </c>
      <c r="D92" s="96" t="s">
        <v>110</v>
      </c>
      <c r="E92" s="51">
        <v>0</v>
      </c>
      <c r="F92" s="130">
        <v>0</v>
      </c>
      <c r="G92" s="51">
        <v>-8</v>
      </c>
      <c r="H92" s="130">
        <v>-4246.16</v>
      </c>
    </row>
    <row r="93" spans="1:8" ht="37.5">
      <c r="A93" s="543"/>
      <c r="B93" s="212">
        <v>530171</v>
      </c>
      <c r="C93" s="176" t="s">
        <v>111</v>
      </c>
      <c r="D93" s="96" t="s">
        <v>112</v>
      </c>
      <c r="E93" s="51">
        <v>80</v>
      </c>
      <c r="F93" s="130">
        <v>41783.200000000012</v>
      </c>
      <c r="G93" s="51">
        <v>80</v>
      </c>
      <c r="H93" s="130">
        <v>41783.199999999997</v>
      </c>
    </row>
    <row r="94" spans="1:8" ht="37.5">
      <c r="A94" s="543"/>
      <c r="B94" s="212">
        <v>530171</v>
      </c>
      <c r="C94" s="175" t="s">
        <v>204</v>
      </c>
      <c r="D94" s="93" t="s">
        <v>113</v>
      </c>
      <c r="E94" s="192">
        <f>SUM(E95:E97)</f>
        <v>2</v>
      </c>
      <c r="F94" s="193">
        <f t="shared" ref="F94:H94" si="33">SUM(F95:F97)</f>
        <v>1957.38</v>
      </c>
      <c r="G94" s="192">
        <f t="shared" si="33"/>
        <v>-107</v>
      </c>
      <c r="H94" s="193">
        <f t="shared" si="33"/>
        <v>-106746.25</v>
      </c>
    </row>
    <row r="95" spans="1:8">
      <c r="A95" s="543"/>
      <c r="B95" s="212">
        <v>530171</v>
      </c>
      <c r="C95" s="176" t="s">
        <v>114</v>
      </c>
      <c r="D95" s="97" t="s">
        <v>115</v>
      </c>
      <c r="E95" s="51">
        <v>0</v>
      </c>
      <c r="F95" s="130">
        <v>0</v>
      </c>
      <c r="G95" s="51">
        <v>-90</v>
      </c>
      <c r="H95" s="130">
        <v>-74530.8</v>
      </c>
    </row>
    <row r="96" spans="1:8">
      <c r="A96" s="543"/>
      <c r="B96" s="212">
        <v>530171</v>
      </c>
      <c r="C96" s="176" t="s">
        <v>116</v>
      </c>
      <c r="D96" s="97" t="s">
        <v>117</v>
      </c>
      <c r="E96" s="51">
        <v>0</v>
      </c>
      <c r="F96" s="130">
        <v>0</v>
      </c>
      <c r="G96" s="51">
        <v>-19</v>
      </c>
      <c r="H96" s="130">
        <v>-34172.83</v>
      </c>
    </row>
    <row r="97" spans="1:8">
      <c r="A97" s="543"/>
      <c r="B97" s="212">
        <v>530171</v>
      </c>
      <c r="C97" s="176" t="s">
        <v>118</v>
      </c>
      <c r="D97" s="97" t="s">
        <v>119</v>
      </c>
      <c r="E97" s="51">
        <v>2</v>
      </c>
      <c r="F97" s="130">
        <v>1957.38</v>
      </c>
      <c r="G97" s="51">
        <v>2</v>
      </c>
      <c r="H97" s="130">
        <v>1957.38</v>
      </c>
    </row>
    <row r="98" spans="1:8" ht="56.25">
      <c r="A98" s="543"/>
      <c r="B98" s="212">
        <v>530171</v>
      </c>
      <c r="C98" s="175" t="s">
        <v>204</v>
      </c>
      <c r="D98" s="98" t="s">
        <v>209</v>
      </c>
      <c r="E98" s="192">
        <f>E99</f>
        <v>0</v>
      </c>
      <c r="F98" s="193">
        <f t="shared" ref="F98:H98" si="34">F99</f>
        <v>0</v>
      </c>
      <c r="G98" s="192">
        <f t="shared" si="34"/>
        <v>-100</v>
      </c>
      <c r="H98" s="193">
        <f t="shared" si="34"/>
        <v>-225566</v>
      </c>
    </row>
    <row r="99" spans="1:8">
      <c r="A99" s="543"/>
      <c r="B99" s="213">
        <v>530171</v>
      </c>
      <c r="C99" s="176" t="s">
        <v>122</v>
      </c>
      <c r="D99" s="97" t="s">
        <v>123</v>
      </c>
      <c r="E99" s="51">
        <v>0</v>
      </c>
      <c r="F99" s="130">
        <v>0</v>
      </c>
      <c r="G99" s="51">
        <v>-100</v>
      </c>
      <c r="H99" s="130">
        <v>-225566</v>
      </c>
    </row>
    <row r="100" spans="1:8">
      <c r="A100" s="114">
        <v>15</v>
      </c>
      <c r="B100" s="214">
        <v>530188</v>
      </c>
      <c r="C100" s="50" t="s">
        <v>165</v>
      </c>
      <c r="D100" s="127" t="s">
        <v>29</v>
      </c>
      <c r="E100" s="128">
        <f>E101+E104</f>
        <v>0</v>
      </c>
      <c r="F100" s="129">
        <f t="shared" ref="F100:H100" si="35">F101+F104</f>
        <v>0</v>
      </c>
      <c r="G100" s="128">
        <f t="shared" si="35"/>
        <v>-150</v>
      </c>
      <c r="H100" s="129">
        <f t="shared" si="35"/>
        <v>-349016.19</v>
      </c>
    </row>
    <row r="101" spans="1:8">
      <c r="A101" s="543"/>
      <c r="B101" s="112">
        <v>530188</v>
      </c>
      <c r="C101" s="175" t="s">
        <v>204</v>
      </c>
      <c r="D101" s="93" t="s">
        <v>94</v>
      </c>
      <c r="E101" s="192">
        <f>SUM(E102:E103)</f>
        <v>0</v>
      </c>
      <c r="F101" s="193">
        <f t="shared" ref="F101:H101" si="36">SUM(F102:F103)</f>
        <v>0</v>
      </c>
      <c r="G101" s="192">
        <f t="shared" si="36"/>
        <v>-131</v>
      </c>
      <c r="H101" s="193">
        <f t="shared" si="36"/>
        <v>-314843.36</v>
      </c>
    </row>
    <row r="102" spans="1:8">
      <c r="A102" s="543"/>
      <c r="B102" s="212">
        <v>530188</v>
      </c>
      <c r="C102" s="176" t="s">
        <v>95</v>
      </c>
      <c r="D102" s="95" t="s">
        <v>96</v>
      </c>
      <c r="E102" s="51">
        <v>0</v>
      </c>
      <c r="F102" s="130">
        <v>0</v>
      </c>
      <c r="G102" s="51">
        <v>-110</v>
      </c>
      <c r="H102" s="130">
        <v>-181742</v>
      </c>
    </row>
    <row r="103" spans="1:8">
      <c r="A103" s="543"/>
      <c r="B103" s="212">
        <v>530188</v>
      </c>
      <c r="C103" s="176" t="s">
        <v>97</v>
      </c>
      <c r="D103" s="95" t="s">
        <v>98</v>
      </c>
      <c r="E103" s="51">
        <v>0</v>
      </c>
      <c r="F103" s="130">
        <v>0</v>
      </c>
      <c r="G103" s="51">
        <v>-21</v>
      </c>
      <c r="H103" s="130">
        <v>-133101.35999999999</v>
      </c>
    </row>
    <row r="104" spans="1:8" ht="37.5">
      <c r="A104" s="543"/>
      <c r="B104" s="212">
        <v>530188</v>
      </c>
      <c r="C104" s="175" t="s">
        <v>204</v>
      </c>
      <c r="D104" s="93" t="s">
        <v>113</v>
      </c>
      <c r="E104" s="192">
        <f>E105</f>
        <v>0</v>
      </c>
      <c r="F104" s="193">
        <f t="shared" ref="F104:H104" si="37">F105</f>
        <v>0</v>
      </c>
      <c r="G104" s="192">
        <f t="shared" si="37"/>
        <v>-19</v>
      </c>
      <c r="H104" s="193">
        <f t="shared" si="37"/>
        <v>-34172.83</v>
      </c>
    </row>
    <row r="105" spans="1:8">
      <c r="A105" s="543"/>
      <c r="B105" s="212">
        <v>530188</v>
      </c>
      <c r="C105" s="176" t="s">
        <v>116</v>
      </c>
      <c r="D105" s="97" t="s">
        <v>117</v>
      </c>
      <c r="E105" s="51">
        <v>0</v>
      </c>
      <c r="F105" s="130">
        <v>0</v>
      </c>
      <c r="G105" s="51">
        <v>-19</v>
      </c>
      <c r="H105" s="130">
        <v>-34172.83</v>
      </c>
    </row>
    <row r="106" spans="1:8">
      <c r="A106" s="114">
        <v>16</v>
      </c>
      <c r="B106" s="114">
        <v>530225</v>
      </c>
      <c r="C106" s="50" t="s">
        <v>165</v>
      </c>
      <c r="D106" s="127" t="s">
        <v>193</v>
      </c>
      <c r="E106" s="128">
        <f>E107</f>
        <v>0</v>
      </c>
      <c r="F106" s="129">
        <f t="shared" ref="F106:H106" si="38">F107</f>
        <v>0</v>
      </c>
      <c r="G106" s="128">
        <f t="shared" si="38"/>
        <v>-115</v>
      </c>
      <c r="H106" s="129">
        <f t="shared" si="38"/>
        <v>-57788.15</v>
      </c>
    </row>
    <row r="107" spans="1:8" ht="37.5">
      <c r="A107" s="541"/>
      <c r="B107" s="112">
        <v>530225</v>
      </c>
      <c r="C107" s="175" t="s">
        <v>204</v>
      </c>
      <c r="D107" s="93" t="s">
        <v>104</v>
      </c>
      <c r="E107" s="192">
        <f>SUM(E108:E110)</f>
        <v>0</v>
      </c>
      <c r="F107" s="193">
        <f t="shared" ref="F107:H107" si="39">SUM(F108:F110)</f>
        <v>0</v>
      </c>
      <c r="G107" s="192">
        <f t="shared" si="39"/>
        <v>-115</v>
      </c>
      <c r="H107" s="193">
        <f t="shared" si="39"/>
        <v>-57788.15</v>
      </c>
    </row>
    <row r="108" spans="1:8">
      <c r="A108" s="543"/>
      <c r="B108" s="212">
        <v>530225</v>
      </c>
      <c r="C108" s="176" t="s">
        <v>105</v>
      </c>
      <c r="D108" s="99" t="s">
        <v>106</v>
      </c>
      <c r="E108" s="51">
        <v>0</v>
      </c>
      <c r="F108" s="130">
        <v>0</v>
      </c>
      <c r="G108" s="51">
        <v>-55</v>
      </c>
      <c r="H108" s="130">
        <v>-27343.25</v>
      </c>
    </row>
    <row r="109" spans="1:8" ht="37.5">
      <c r="A109" s="543"/>
      <c r="B109" s="212">
        <v>530225</v>
      </c>
      <c r="C109" s="176" t="s">
        <v>126</v>
      </c>
      <c r="D109" s="96" t="s">
        <v>127</v>
      </c>
      <c r="E109" s="51">
        <v>0</v>
      </c>
      <c r="F109" s="130">
        <v>0</v>
      </c>
      <c r="G109" s="51">
        <v>-42</v>
      </c>
      <c r="H109" s="130">
        <v>-21043.68</v>
      </c>
    </row>
    <row r="110" spans="1:8" ht="37.5">
      <c r="A110" s="543"/>
      <c r="B110" s="212">
        <v>530225</v>
      </c>
      <c r="C110" s="176" t="s">
        <v>111</v>
      </c>
      <c r="D110" s="96" t="s">
        <v>112</v>
      </c>
      <c r="E110" s="51">
        <v>0</v>
      </c>
      <c r="F110" s="130">
        <v>0</v>
      </c>
      <c r="G110" s="51">
        <v>-18</v>
      </c>
      <c r="H110" s="130">
        <v>-9401.2199999999993</v>
      </c>
    </row>
    <row r="111" spans="1:8" ht="37.5">
      <c r="A111" s="114">
        <v>17</v>
      </c>
      <c r="B111" s="210">
        <v>530226</v>
      </c>
      <c r="C111" s="50" t="s">
        <v>165</v>
      </c>
      <c r="D111" s="127" t="s">
        <v>31</v>
      </c>
      <c r="E111" s="128">
        <f>E112</f>
        <v>0</v>
      </c>
      <c r="F111" s="129">
        <f t="shared" ref="F111:H111" si="40">F112</f>
        <v>1.4551915228366852E-10</v>
      </c>
      <c r="G111" s="128">
        <f t="shared" si="40"/>
        <v>41</v>
      </c>
      <c r="H111" s="129">
        <f t="shared" si="40"/>
        <v>18213.53</v>
      </c>
    </row>
    <row r="112" spans="1:8" ht="37.5">
      <c r="A112" s="539"/>
      <c r="B112" s="112">
        <v>530226</v>
      </c>
      <c r="C112" s="175" t="s">
        <v>204</v>
      </c>
      <c r="D112" s="93" t="s">
        <v>104</v>
      </c>
      <c r="E112" s="192">
        <f>SUM(E113:E116)</f>
        <v>0</v>
      </c>
      <c r="F112" s="193">
        <f t="shared" ref="F112:H112" si="41">SUM(F113:F116)</f>
        <v>1.4551915228366852E-10</v>
      </c>
      <c r="G112" s="192">
        <f t="shared" si="41"/>
        <v>41</v>
      </c>
      <c r="H112" s="193">
        <f t="shared" si="41"/>
        <v>18213.53</v>
      </c>
    </row>
    <row r="113" spans="1:8">
      <c r="A113" s="540"/>
      <c r="B113" s="212">
        <v>530226</v>
      </c>
      <c r="C113" s="176" t="s">
        <v>105</v>
      </c>
      <c r="D113" s="99" t="s">
        <v>106</v>
      </c>
      <c r="E113" s="51">
        <v>140</v>
      </c>
      <c r="F113" s="130">
        <v>69349.600000000093</v>
      </c>
      <c r="G113" s="51">
        <v>130</v>
      </c>
      <c r="H113" s="130">
        <v>64629.5</v>
      </c>
    </row>
    <row r="114" spans="1:8" ht="37.5">
      <c r="A114" s="540"/>
      <c r="B114" s="212">
        <v>530226</v>
      </c>
      <c r="C114" s="176" t="s">
        <v>107</v>
      </c>
      <c r="D114" s="96" t="s">
        <v>108</v>
      </c>
      <c r="E114" s="51">
        <v>-150</v>
      </c>
      <c r="F114" s="130">
        <v>-74572.5</v>
      </c>
      <c r="G114" s="51">
        <v>-26</v>
      </c>
      <c r="H114" s="130">
        <v>-13579.539999999999</v>
      </c>
    </row>
    <row r="115" spans="1:8" ht="37.5">
      <c r="A115" s="540"/>
      <c r="B115" s="212">
        <v>530226</v>
      </c>
      <c r="C115" s="176" t="s">
        <v>109</v>
      </c>
      <c r="D115" s="96" t="s">
        <v>110</v>
      </c>
      <c r="E115" s="51">
        <v>81</v>
      </c>
      <c r="F115" s="130">
        <v>42992.370000000024</v>
      </c>
      <c r="G115" s="51">
        <v>8</v>
      </c>
      <c r="H115" s="130">
        <v>4246.16</v>
      </c>
    </row>
    <row r="116" spans="1:8" ht="37.5">
      <c r="A116" s="540"/>
      <c r="B116" s="213">
        <v>530226</v>
      </c>
      <c r="C116" s="176" t="s">
        <v>111</v>
      </c>
      <c r="D116" s="96" t="s">
        <v>112</v>
      </c>
      <c r="E116" s="51">
        <v>-71</v>
      </c>
      <c r="F116" s="130">
        <v>-37769.469999999972</v>
      </c>
      <c r="G116" s="51">
        <v>-71</v>
      </c>
      <c r="H116" s="130">
        <v>-37082.589999999997</v>
      </c>
    </row>
    <row r="117" spans="1:8">
      <c r="A117" s="114">
        <v>18</v>
      </c>
      <c r="B117" s="214">
        <v>530227</v>
      </c>
      <c r="C117" s="50" t="s">
        <v>165</v>
      </c>
      <c r="D117" s="127" t="s">
        <v>200</v>
      </c>
      <c r="E117" s="128">
        <f>E118+E121</f>
        <v>213</v>
      </c>
      <c r="F117" s="129">
        <f t="shared" ref="F117:H117" si="42">F118+F121</f>
        <v>607448.85999999929</v>
      </c>
      <c r="G117" s="128">
        <f>G118+G121</f>
        <v>138</v>
      </c>
      <c r="H117" s="129">
        <f t="shared" si="42"/>
        <v>202376.26</v>
      </c>
    </row>
    <row r="118" spans="1:8">
      <c r="A118" s="541"/>
      <c r="B118" s="112">
        <v>530227</v>
      </c>
      <c r="C118" s="175" t="s">
        <v>204</v>
      </c>
      <c r="D118" s="93" t="s">
        <v>94</v>
      </c>
      <c r="E118" s="192">
        <f>SUM(E119:E120)</f>
        <v>85</v>
      </c>
      <c r="F118" s="193">
        <f t="shared" ref="F118:H118" si="43">SUM(F119:F120)</f>
        <v>468454.19999999925</v>
      </c>
      <c r="G118" s="192">
        <f t="shared" si="43"/>
        <v>10</v>
      </c>
      <c r="H118" s="193">
        <f t="shared" si="43"/>
        <v>63381.599999999999</v>
      </c>
    </row>
    <row r="119" spans="1:8">
      <c r="A119" s="543"/>
      <c r="B119" s="212">
        <v>530227</v>
      </c>
      <c r="C119" s="176" t="s">
        <v>95</v>
      </c>
      <c r="D119" s="95" t="s">
        <v>96</v>
      </c>
      <c r="E119" s="51">
        <v>15</v>
      </c>
      <c r="F119" s="130">
        <v>24783</v>
      </c>
      <c r="G119" s="51">
        <v>0</v>
      </c>
      <c r="H119" s="130">
        <v>0</v>
      </c>
    </row>
    <row r="120" spans="1:8">
      <c r="A120" s="543"/>
      <c r="B120" s="212">
        <v>530227</v>
      </c>
      <c r="C120" s="176" t="s">
        <v>97</v>
      </c>
      <c r="D120" s="95" t="s">
        <v>98</v>
      </c>
      <c r="E120" s="51">
        <v>70</v>
      </c>
      <c r="F120" s="130">
        <v>443671.19999999925</v>
      </c>
      <c r="G120" s="51">
        <v>10</v>
      </c>
      <c r="H120" s="130">
        <v>63381.599999999999</v>
      </c>
    </row>
    <row r="121" spans="1:8" ht="37.5">
      <c r="A121" s="543"/>
      <c r="B121" s="212">
        <v>530227</v>
      </c>
      <c r="C121" s="175" t="s">
        <v>204</v>
      </c>
      <c r="D121" s="93" t="s">
        <v>113</v>
      </c>
      <c r="E121" s="192">
        <f>SUM(E122:E123)</f>
        <v>128</v>
      </c>
      <c r="F121" s="193">
        <f>SUM(F122:F123)</f>
        <v>138994.66000000003</v>
      </c>
      <c r="G121" s="192">
        <f>SUM(G122:G123)</f>
        <v>128</v>
      </c>
      <c r="H121" s="193">
        <f>SUM(H122:H123)</f>
        <v>138994.66</v>
      </c>
    </row>
    <row r="122" spans="1:8">
      <c r="A122" s="543"/>
      <c r="B122" s="212">
        <v>530227</v>
      </c>
      <c r="C122" s="176" t="s">
        <v>114</v>
      </c>
      <c r="D122" s="97" t="s">
        <v>115</v>
      </c>
      <c r="E122" s="51">
        <v>94</v>
      </c>
      <c r="F122" s="130">
        <v>77843.280000000028</v>
      </c>
      <c r="G122" s="51">
        <v>94</v>
      </c>
      <c r="H122" s="130">
        <v>77843.28</v>
      </c>
    </row>
    <row r="123" spans="1:8">
      <c r="A123" s="543"/>
      <c r="B123" s="212">
        <v>530227</v>
      </c>
      <c r="C123" s="243" t="s">
        <v>116</v>
      </c>
      <c r="D123" s="274" t="s">
        <v>117</v>
      </c>
      <c r="E123" s="51">
        <v>34</v>
      </c>
      <c r="F123" s="130">
        <v>61151.380000000005</v>
      </c>
      <c r="G123" s="51">
        <v>34</v>
      </c>
      <c r="H123" s="130">
        <v>61151.38</v>
      </c>
    </row>
    <row r="124" spans="1:8">
      <c r="A124" s="527" t="s">
        <v>34</v>
      </c>
      <c r="B124" s="528"/>
      <c r="C124" s="528"/>
      <c r="D124" s="529"/>
      <c r="E124" s="142">
        <f>E10+E16+E21+E28+E38+E41+E44+E47+E50+E62+E70+E73+E76+E82+E100+E111+E106+E117</f>
        <v>4407</v>
      </c>
      <c r="F124" s="145">
        <f>F10+F16+F21+F28+F38+F41+F44+F47+F50+F62+F70+F73+F76+F82+F100+F111+F106+F117</f>
        <v>1936087.3399999989</v>
      </c>
      <c r="G124" s="142">
        <f>G10+G16+G21+G28+G38+G41+G44+G47+G50+G62+G70+G73+G76+G82+G100+G111+G106+G117</f>
        <v>0</v>
      </c>
      <c r="H124" s="145">
        <f>H10+H16+H21+H28+H38+H41+H44+H47+H50+H62+H70+H73+H76+H82+H100+H111+H106+H117</f>
        <v>0</v>
      </c>
    </row>
  </sheetData>
  <mergeCells count="27">
    <mergeCell ref="A101:A105"/>
    <mergeCell ref="A107:A110"/>
    <mergeCell ref="A112:A116"/>
    <mergeCell ref="A118:A123"/>
    <mergeCell ref="A45:A46"/>
    <mergeCell ref="A51:A61"/>
    <mergeCell ref="A63:A69"/>
    <mergeCell ref="A71:A72"/>
    <mergeCell ref="A83:A99"/>
    <mergeCell ref="A74:A75"/>
    <mergeCell ref="A77:A81"/>
    <mergeCell ref="A124:D124"/>
    <mergeCell ref="F3:H3"/>
    <mergeCell ref="G7:H7"/>
    <mergeCell ref="A5:H5"/>
    <mergeCell ref="E7:F7"/>
    <mergeCell ref="A7:A8"/>
    <mergeCell ref="B7:B8"/>
    <mergeCell ref="C7:C8"/>
    <mergeCell ref="D7:D8"/>
    <mergeCell ref="A11:A15"/>
    <mergeCell ref="A17:A20"/>
    <mergeCell ref="A22:A27"/>
    <mergeCell ref="A29:A37"/>
    <mergeCell ref="A39:A40"/>
    <mergeCell ref="A42:A43"/>
    <mergeCell ref="A48:A49"/>
  </mergeCells>
  <pageMargins left="0.78740157480314965" right="0.39370078740157483" top="0.39370078740157483" bottom="0.39370078740157483" header="0.31496062992125984" footer="0.31496062992125984"/>
  <pageSetup paperSize="9" scale="52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</sheetPr>
  <dimension ref="A1:H24"/>
  <sheetViews>
    <sheetView zoomScale="80" zoomScaleNormal="80" workbookViewId="0">
      <pane xSplit="4" ySplit="9" topLeftCell="E10" activePane="bottomRight" state="frozen"/>
      <selection activeCell="J45" sqref="J45"/>
      <selection pane="topRight" activeCell="J45" sqref="J45"/>
      <selection pane="bottomLeft" activeCell="J45" sqref="J45"/>
      <selection pane="bottomRight" activeCell="I33" sqref="I33"/>
    </sheetView>
  </sheetViews>
  <sheetFormatPr defaultRowHeight="18.75"/>
  <cols>
    <col min="1" max="1" width="7" style="74" customWidth="1"/>
    <col min="2" max="2" width="10.140625" style="73" customWidth="1"/>
    <col min="3" max="3" width="10.140625" style="92" customWidth="1"/>
    <col min="4" max="4" width="68" style="73" customWidth="1"/>
    <col min="5" max="5" width="17.85546875" style="74" customWidth="1"/>
    <col min="6" max="6" width="23" style="75" customWidth="1"/>
    <col min="7" max="7" width="18.140625" style="73" customWidth="1"/>
    <col min="8" max="8" width="17.7109375" style="219" customWidth="1"/>
    <col min="9" max="10" width="9.140625" style="73"/>
    <col min="11" max="11" width="9.140625" style="73" customWidth="1"/>
    <col min="12" max="16384" width="9.140625" style="73"/>
  </cols>
  <sheetData>
    <row r="1" spans="1:8">
      <c r="E1" s="120"/>
      <c r="F1" s="32"/>
      <c r="G1" s="32"/>
      <c r="H1" s="217" t="s">
        <v>287</v>
      </c>
    </row>
    <row r="2" spans="1:8">
      <c r="F2" s="32"/>
      <c r="G2" s="32"/>
      <c r="H2" s="218" t="s">
        <v>157</v>
      </c>
    </row>
    <row r="3" spans="1:8">
      <c r="E3" s="120"/>
      <c r="F3" s="501" t="s">
        <v>249</v>
      </c>
      <c r="G3" s="501"/>
      <c r="H3" s="501"/>
    </row>
    <row r="5" spans="1:8" ht="18.75" customHeight="1">
      <c r="A5" s="537" t="s">
        <v>288</v>
      </c>
      <c r="B5" s="537"/>
      <c r="C5" s="537"/>
      <c r="D5" s="537"/>
      <c r="E5" s="537"/>
      <c r="F5" s="537"/>
      <c r="G5" s="537"/>
      <c r="H5" s="537"/>
    </row>
    <row r="6" spans="1:8" ht="23.25" customHeight="1">
      <c r="A6" s="71"/>
      <c r="B6" s="301"/>
      <c r="C6" s="91"/>
      <c r="D6" s="71"/>
      <c r="E6" s="71"/>
      <c r="F6" s="71"/>
    </row>
    <row r="7" spans="1:8" ht="56.25" customHeight="1">
      <c r="A7" s="538" t="s">
        <v>35</v>
      </c>
      <c r="B7" s="538" t="s">
        <v>1</v>
      </c>
      <c r="C7" s="538" t="s">
        <v>93</v>
      </c>
      <c r="D7" s="538" t="s">
        <v>151</v>
      </c>
      <c r="E7" s="460" t="s">
        <v>163</v>
      </c>
      <c r="F7" s="461"/>
      <c r="G7" s="462" t="s">
        <v>164</v>
      </c>
      <c r="H7" s="463"/>
    </row>
    <row r="8" spans="1:8" ht="58.5" customHeight="1">
      <c r="A8" s="538"/>
      <c r="B8" s="538"/>
      <c r="C8" s="538"/>
      <c r="D8" s="538"/>
      <c r="E8" s="298" t="s">
        <v>3</v>
      </c>
      <c r="F8" s="298" t="s">
        <v>37</v>
      </c>
      <c r="G8" s="299" t="s">
        <v>3</v>
      </c>
      <c r="H8" s="153" t="s">
        <v>37</v>
      </c>
    </row>
    <row r="9" spans="1:8" ht="19.5" customHeight="1">
      <c r="A9" s="90">
        <v>1</v>
      </c>
      <c r="B9" s="90">
        <f>+A9+1</f>
        <v>2</v>
      </c>
      <c r="C9" s="90">
        <f t="shared" ref="C9:D9" si="0">+B9+1</f>
        <v>3</v>
      </c>
      <c r="D9" s="90">
        <f t="shared" si="0"/>
        <v>4</v>
      </c>
      <c r="E9" s="90">
        <v>5</v>
      </c>
      <c r="F9" s="76">
        <v>6</v>
      </c>
      <c r="G9" s="76">
        <v>7</v>
      </c>
      <c r="H9" s="76">
        <v>8</v>
      </c>
    </row>
    <row r="10" spans="1:8">
      <c r="A10" s="355">
        <v>1</v>
      </c>
      <c r="B10" s="334">
        <v>530050</v>
      </c>
      <c r="C10" s="335" t="s">
        <v>165</v>
      </c>
      <c r="D10" s="336" t="s">
        <v>23</v>
      </c>
      <c r="E10" s="343">
        <f>E11</f>
        <v>0</v>
      </c>
      <c r="F10" s="344">
        <f t="shared" ref="F10:H10" si="1">F11</f>
        <v>0</v>
      </c>
      <c r="G10" s="343">
        <f t="shared" si="1"/>
        <v>34</v>
      </c>
      <c r="H10" s="344">
        <f t="shared" si="1"/>
        <v>14526</v>
      </c>
    </row>
    <row r="11" spans="1:8">
      <c r="A11" s="544"/>
      <c r="B11" s="337">
        <v>530050</v>
      </c>
      <c r="C11" s="338"/>
      <c r="D11" s="339" t="s">
        <v>289</v>
      </c>
      <c r="E11" s="345">
        <f>SUM(E12:E14)</f>
        <v>0</v>
      </c>
      <c r="F11" s="346">
        <f t="shared" ref="F11:H11" si="2">SUM(F12:F14)</f>
        <v>0</v>
      </c>
      <c r="G11" s="345">
        <f t="shared" si="2"/>
        <v>34</v>
      </c>
      <c r="H11" s="346">
        <f t="shared" si="2"/>
        <v>14526</v>
      </c>
    </row>
    <row r="12" spans="1:8">
      <c r="A12" s="545"/>
      <c r="B12" s="340">
        <v>530050</v>
      </c>
      <c r="C12" s="338" t="s">
        <v>290</v>
      </c>
      <c r="D12" s="341" t="s">
        <v>291</v>
      </c>
      <c r="E12" s="347">
        <v>0</v>
      </c>
      <c r="F12" s="348">
        <v>0</v>
      </c>
      <c r="G12" s="347">
        <v>56</v>
      </c>
      <c r="H12" s="348">
        <v>45696</v>
      </c>
    </row>
    <row r="13" spans="1:8">
      <c r="A13" s="545"/>
      <c r="B13" s="340">
        <v>530050</v>
      </c>
      <c r="C13" s="342" t="s">
        <v>292</v>
      </c>
      <c r="D13" s="341" t="s">
        <v>293</v>
      </c>
      <c r="E13" s="347">
        <v>0</v>
      </c>
      <c r="F13" s="348">
        <v>0</v>
      </c>
      <c r="G13" s="347">
        <v>-21</v>
      </c>
      <c r="H13" s="348">
        <v>-27300</v>
      </c>
    </row>
    <row r="14" spans="1:8">
      <c r="A14" s="546"/>
      <c r="B14" s="340">
        <v>530050</v>
      </c>
      <c r="C14" s="338" t="s">
        <v>294</v>
      </c>
      <c r="D14" s="341" t="s">
        <v>295</v>
      </c>
      <c r="E14" s="347">
        <v>0</v>
      </c>
      <c r="F14" s="348">
        <v>0</v>
      </c>
      <c r="G14" s="347">
        <v>-1</v>
      </c>
      <c r="H14" s="348">
        <v>-3870</v>
      </c>
    </row>
    <row r="15" spans="1:8">
      <c r="A15" s="355">
        <v>2</v>
      </c>
      <c r="B15" s="349">
        <v>530188</v>
      </c>
      <c r="C15" s="335" t="s">
        <v>165</v>
      </c>
      <c r="D15" s="336" t="s">
        <v>29</v>
      </c>
      <c r="E15" s="343">
        <f t="shared" ref="E15:H16" si="3">E16</f>
        <v>0</v>
      </c>
      <c r="F15" s="344">
        <f t="shared" si="3"/>
        <v>0</v>
      </c>
      <c r="G15" s="343">
        <f t="shared" si="3"/>
        <v>-121</v>
      </c>
      <c r="H15" s="344">
        <f t="shared" si="3"/>
        <v>-557334</v>
      </c>
    </row>
    <row r="16" spans="1:8">
      <c r="A16" s="544"/>
      <c r="B16" s="337">
        <v>530050</v>
      </c>
      <c r="C16" s="350"/>
      <c r="D16" s="351" t="s">
        <v>296</v>
      </c>
      <c r="E16" s="345">
        <f t="shared" si="3"/>
        <v>0</v>
      </c>
      <c r="F16" s="346">
        <f t="shared" si="3"/>
        <v>0</v>
      </c>
      <c r="G16" s="345">
        <f t="shared" si="3"/>
        <v>-121</v>
      </c>
      <c r="H16" s="346">
        <f t="shared" si="3"/>
        <v>-557334</v>
      </c>
    </row>
    <row r="17" spans="1:8" ht="37.5">
      <c r="A17" s="546"/>
      <c r="B17" s="340">
        <v>530050</v>
      </c>
      <c r="C17" s="352" t="s">
        <v>297</v>
      </c>
      <c r="D17" s="353" t="s">
        <v>298</v>
      </c>
      <c r="E17" s="347">
        <v>0</v>
      </c>
      <c r="F17" s="348">
        <v>0</v>
      </c>
      <c r="G17" s="347">
        <v>-121</v>
      </c>
      <c r="H17" s="348">
        <v>-557334</v>
      </c>
    </row>
    <row r="18" spans="1:8">
      <c r="A18" s="355">
        <v>3</v>
      </c>
      <c r="B18" s="349">
        <v>530197</v>
      </c>
      <c r="C18" s="335" t="s">
        <v>165</v>
      </c>
      <c r="D18" s="336" t="s">
        <v>299</v>
      </c>
      <c r="E18" s="343">
        <f t="shared" ref="E18:H19" si="4">E19</f>
        <v>0</v>
      </c>
      <c r="F18" s="344">
        <f t="shared" si="4"/>
        <v>0</v>
      </c>
      <c r="G18" s="343">
        <f t="shared" si="4"/>
        <v>85</v>
      </c>
      <c r="H18" s="344">
        <f t="shared" si="4"/>
        <v>530910</v>
      </c>
    </row>
    <row r="19" spans="1:8">
      <c r="A19" s="544"/>
      <c r="B19" s="337">
        <v>530197</v>
      </c>
      <c r="C19" s="350"/>
      <c r="D19" s="351" t="s">
        <v>296</v>
      </c>
      <c r="E19" s="345">
        <f t="shared" si="4"/>
        <v>0</v>
      </c>
      <c r="F19" s="346">
        <f t="shared" si="4"/>
        <v>0</v>
      </c>
      <c r="G19" s="345">
        <f t="shared" si="4"/>
        <v>85</v>
      </c>
      <c r="H19" s="346">
        <f t="shared" si="4"/>
        <v>530910</v>
      </c>
    </row>
    <row r="20" spans="1:8" ht="37.5">
      <c r="A20" s="546"/>
      <c r="B20" s="340">
        <v>530197</v>
      </c>
      <c r="C20" s="352" t="s">
        <v>300</v>
      </c>
      <c r="D20" s="354" t="s">
        <v>301</v>
      </c>
      <c r="E20" s="347">
        <v>0</v>
      </c>
      <c r="F20" s="348">
        <v>0</v>
      </c>
      <c r="G20" s="347">
        <v>85</v>
      </c>
      <c r="H20" s="348">
        <v>530910</v>
      </c>
    </row>
    <row r="21" spans="1:8">
      <c r="A21" s="355">
        <v>4</v>
      </c>
      <c r="B21" s="349">
        <v>530227</v>
      </c>
      <c r="C21" s="335" t="s">
        <v>165</v>
      </c>
      <c r="D21" s="336" t="s">
        <v>270</v>
      </c>
      <c r="E21" s="343">
        <f t="shared" ref="E21:H22" si="5">E22</f>
        <v>0</v>
      </c>
      <c r="F21" s="344">
        <f t="shared" si="5"/>
        <v>0</v>
      </c>
      <c r="G21" s="343">
        <f t="shared" si="5"/>
        <v>2</v>
      </c>
      <c r="H21" s="344">
        <f t="shared" si="5"/>
        <v>11898</v>
      </c>
    </row>
    <row r="22" spans="1:8">
      <c r="A22" s="544"/>
      <c r="B22" s="337">
        <v>530227</v>
      </c>
      <c r="C22" s="350"/>
      <c r="D22" s="351" t="s">
        <v>296</v>
      </c>
      <c r="E22" s="345">
        <f t="shared" si="5"/>
        <v>0</v>
      </c>
      <c r="F22" s="346">
        <f t="shared" si="5"/>
        <v>0</v>
      </c>
      <c r="G22" s="345">
        <f t="shared" si="5"/>
        <v>2</v>
      </c>
      <c r="H22" s="346">
        <f t="shared" si="5"/>
        <v>11898</v>
      </c>
    </row>
    <row r="23" spans="1:8" ht="37.5">
      <c r="A23" s="546"/>
      <c r="B23" s="340">
        <v>530227</v>
      </c>
      <c r="C23" s="352" t="s">
        <v>297</v>
      </c>
      <c r="D23" s="353" t="s">
        <v>298</v>
      </c>
      <c r="E23" s="347">
        <v>0</v>
      </c>
      <c r="F23" s="348">
        <v>0</v>
      </c>
      <c r="G23" s="347">
        <v>2</v>
      </c>
      <c r="H23" s="348">
        <v>11898</v>
      </c>
    </row>
    <row r="24" spans="1:8">
      <c r="A24" s="527" t="s">
        <v>34</v>
      </c>
      <c r="B24" s="528"/>
      <c r="C24" s="528"/>
      <c r="D24" s="529"/>
      <c r="E24" s="142">
        <f>E10+E15+E18+E21</f>
        <v>0</v>
      </c>
      <c r="F24" s="145">
        <f t="shared" ref="F24:H24" si="6">F10+F15+F18+F21</f>
        <v>0</v>
      </c>
      <c r="G24" s="142">
        <f t="shared" si="6"/>
        <v>0</v>
      </c>
      <c r="H24" s="145">
        <f t="shared" si="6"/>
        <v>0</v>
      </c>
    </row>
  </sheetData>
  <mergeCells count="13">
    <mergeCell ref="F3:H3"/>
    <mergeCell ref="A5:H5"/>
    <mergeCell ref="A7:A8"/>
    <mergeCell ref="B7:B8"/>
    <mergeCell ref="C7:C8"/>
    <mergeCell ref="D7:D8"/>
    <mergeCell ref="E7:F7"/>
    <mergeCell ref="G7:H7"/>
    <mergeCell ref="A24:D24"/>
    <mergeCell ref="A11:A14"/>
    <mergeCell ref="A16:A17"/>
    <mergeCell ref="A19:A20"/>
    <mergeCell ref="A22:A23"/>
  </mergeCells>
  <pageMargins left="0.78740157480314965" right="0.39370078740157483" top="0.39370078740157483" bottom="0.39370078740157483" header="0.31496062992125984" footer="0.31496062992125984"/>
  <pageSetup paperSize="9" scale="52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</sheetPr>
  <dimension ref="A1:O58"/>
  <sheetViews>
    <sheetView zoomScale="80" zoomScaleNormal="8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H15" sqref="H15"/>
    </sheetView>
  </sheetViews>
  <sheetFormatPr defaultRowHeight="18.75"/>
  <cols>
    <col min="1" max="1" width="6.85546875" style="433" customWidth="1"/>
    <col min="2" max="2" width="9.5703125" style="416" customWidth="1"/>
    <col min="3" max="3" width="11.140625" style="416" customWidth="1"/>
    <col min="4" max="4" width="72.42578125" style="416" customWidth="1"/>
    <col min="5" max="6" width="15.85546875" style="416" customWidth="1"/>
    <col min="7" max="7" width="17.5703125" style="433" customWidth="1"/>
    <col min="8" max="8" width="19" style="434" customWidth="1"/>
    <col min="9" max="16384" width="9.140625" style="416"/>
  </cols>
  <sheetData>
    <row r="1" spans="1:8" s="32" customFormat="1">
      <c r="A1" s="74"/>
      <c r="B1" s="73"/>
      <c r="C1" s="92"/>
      <c r="D1" s="73"/>
      <c r="E1" s="120"/>
      <c r="H1" s="217" t="s">
        <v>310</v>
      </c>
    </row>
    <row r="2" spans="1:8" s="32" customFormat="1">
      <c r="A2" s="74"/>
      <c r="B2" s="73"/>
      <c r="C2" s="92"/>
      <c r="D2" s="73"/>
      <c r="E2" s="74"/>
      <c r="H2" s="218" t="s">
        <v>157</v>
      </c>
    </row>
    <row r="3" spans="1:8" s="32" customFormat="1">
      <c r="A3" s="74"/>
      <c r="B3" s="73"/>
      <c r="C3" s="92"/>
      <c r="D3" s="73"/>
      <c r="E3" s="120"/>
      <c r="F3" s="501" t="s">
        <v>311</v>
      </c>
      <c r="G3" s="501"/>
      <c r="H3" s="501"/>
    </row>
    <row r="4" spans="1:8">
      <c r="A4" s="74"/>
      <c r="B4" s="73"/>
      <c r="C4" s="92"/>
      <c r="D4" s="73"/>
      <c r="E4" s="74"/>
      <c r="F4" s="75"/>
      <c r="G4" s="73"/>
      <c r="H4" s="219"/>
    </row>
    <row r="5" spans="1:8" ht="18.75" customHeight="1">
      <c r="A5" s="537" t="s">
        <v>312</v>
      </c>
      <c r="B5" s="537"/>
      <c r="C5" s="537"/>
      <c r="D5" s="537"/>
      <c r="E5" s="537"/>
      <c r="F5" s="537"/>
      <c r="G5" s="537"/>
      <c r="H5" s="537"/>
    </row>
    <row r="6" spans="1:8" ht="18.75" customHeight="1">
      <c r="A6" s="417"/>
      <c r="B6" s="417"/>
      <c r="C6" s="417"/>
      <c r="D6" s="417"/>
      <c r="E6" s="417"/>
      <c r="F6" s="417"/>
      <c r="G6" s="417"/>
      <c r="H6" s="418"/>
    </row>
    <row r="7" spans="1:8" ht="18.75" customHeight="1">
      <c r="A7" s="553" t="s">
        <v>35</v>
      </c>
      <c r="B7" s="553" t="s">
        <v>1</v>
      </c>
      <c r="C7" s="456" t="s">
        <v>93</v>
      </c>
      <c r="D7" s="458" t="s">
        <v>304</v>
      </c>
      <c r="E7" s="460" t="s">
        <v>163</v>
      </c>
      <c r="F7" s="461"/>
      <c r="G7" s="462" t="s">
        <v>164</v>
      </c>
      <c r="H7" s="463"/>
    </row>
    <row r="8" spans="1:8" ht="53.25" customHeight="1">
      <c r="A8" s="553"/>
      <c r="B8" s="553"/>
      <c r="C8" s="457"/>
      <c r="D8" s="459"/>
      <c r="E8" s="383" t="s">
        <v>3</v>
      </c>
      <c r="F8" s="383" t="s">
        <v>37</v>
      </c>
      <c r="G8" s="384" t="s">
        <v>3</v>
      </c>
      <c r="H8" s="153" t="s">
        <v>37</v>
      </c>
    </row>
    <row r="9" spans="1:8" ht="17.25" customHeight="1">
      <c r="A9" s="419">
        <v>1</v>
      </c>
      <c r="B9" s="419">
        <f>+A9+1</f>
        <v>2</v>
      </c>
      <c r="C9" s="419">
        <f t="shared" ref="C9:D9" si="0">+B9+1</f>
        <v>3</v>
      </c>
      <c r="D9" s="419">
        <f t="shared" si="0"/>
        <v>4</v>
      </c>
      <c r="E9" s="419">
        <f t="shared" ref="E9" si="1">+D9+1</f>
        <v>5</v>
      </c>
      <c r="F9" s="419">
        <f t="shared" ref="F9" si="2">+E9+1</f>
        <v>6</v>
      </c>
      <c r="G9" s="419">
        <f t="shared" ref="G9" si="3">+F9+1</f>
        <v>7</v>
      </c>
      <c r="H9" s="419">
        <f t="shared" ref="H9" si="4">+G9+1</f>
        <v>8</v>
      </c>
    </row>
    <row r="10" spans="1:8" ht="18.75" customHeight="1">
      <c r="A10" s="420">
        <v>1</v>
      </c>
      <c r="B10" s="442">
        <v>530001</v>
      </c>
      <c r="C10" s="421" t="s">
        <v>165</v>
      </c>
      <c r="D10" s="422" t="s">
        <v>166</v>
      </c>
      <c r="E10" s="423">
        <f>SUM(E11:E12)</f>
        <v>0</v>
      </c>
      <c r="F10" s="424">
        <f t="shared" ref="F10:H10" si="5">SUM(F11:F12)</f>
        <v>0</v>
      </c>
      <c r="G10" s="423">
        <f t="shared" si="5"/>
        <v>0</v>
      </c>
      <c r="H10" s="424">
        <f t="shared" si="5"/>
        <v>0</v>
      </c>
    </row>
    <row r="11" spans="1:8" ht="18.75" customHeight="1">
      <c r="A11" s="551"/>
      <c r="B11" s="443">
        <v>530001</v>
      </c>
      <c r="C11" s="441" t="s">
        <v>305</v>
      </c>
      <c r="D11" s="426" t="s">
        <v>306</v>
      </c>
      <c r="E11" s="436">
        <v>0</v>
      </c>
      <c r="F11" s="437">
        <v>0</v>
      </c>
      <c r="G11" s="427">
        <v>-11</v>
      </c>
      <c r="H11" s="437">
        <v>-12451.78</v>
      </c>
    </row>
    <row r="12" spans="1:8" ht="18.75" customHeight="1">
      <c r="A12" s="552"/>
      <c r="B12" s="425">
        <v>530001</v>
      </c>
      <c r="C12" s="441" t="s">
        <v>307</v>
      </c>
      <c r="D12" s="426" t="s">
        <v>308</v>
      </c>
      <c r="E12" s="436">
        <v>0</v>
      </c>
      <c r="F12" s="437">
        <v>0</v>
      </c>
      <c r="G12" s="427">
        <v>11</v>
      </c>
      <c r="H12" s="437">
        <v>12451.78</v>
      </c>
    </row>
    <row r="13" spans="1:8" s="429" customFormat="1">
      <c r="A13" s="547" t="s">
        <v>34</v>
      </c>
      <c r="B13" s="548"/>
      <c r="C13" s="549"/>
      <c r="D13" s="550"/>
      <c r="E13" s="440">
        <f>E10</f>
        <v>0</v>
      </c>
      <c r="F13" s="438">
        <f t="shared" ref="F13:H13" si="6">F10</f>
        <v>0</v>
      </c>
      <c r="G13" s="428">
        <f t="shared" si="6"/>
        <v>0</v>
      </c>
      <c r="H13" s="438">
        <f t="shared" si="6"/>
        <v>0</v>
      </c>
    </row>
    <row r="14" spans="1:8" s="429" customFormat="1">
      <c r="A14" s="430"/>
      <c r="B14" s="430"/>
      <c r="C14" s="430"/>
      <c r="D14" s="430"/>
      <c r="E14" s="430"/>
      <c r="F14" s="439"/>
      <c r="G14" s="431"/>
      <c r="H14" s="432"/>
    </row>
    <row r="58" spans="2:15" s="433" customFormat="1">
      <c r="B58" s="416"/>
      <c r="C58" s="416"/>
      <c r="D58" s="435" t="s">
        <v>309</v>
      </c>
      <c r="E58" s="435"/>
      <c r="F58" s="435"/>
      <c r="H58" s="434"/>
      <c r="I58" s="416"/>
      <c r="J58" s="416"/>
      <c r="K58" s="416"/>
      <c r="L58" s="416"/>
      <c r="M58" s="416"/>
      <c r="N58" s="416"/>
      <c r="O58" s="416"/>
    </row>
  </sheetData>
  <mergeCells count="10">
    <mergeCell ref="A13:D13"/>
    <mergeCell ref="F3:H3"/>
    <mergeCell ref="E7:F7"/>
    <mergeCell ref="G7:H7"/>
    <mergeCell ref="A11:A12"/>
    <mergeCell ref="A5:H5"/>
    <mergeCell ref="A7:A8"/>
    <mergeCell ref="B7:B8"/>
    <mergeCell ref="C7:C8"/>
    <mergeCell ref="D7:D8"/>
  </mergeCells>
  <pageMargins left="0.39370078740157483" right="0.39370078740157483" top="0.39370078740157483" bottom="0.39370078740157483" header="0.31496062992125984" footer="0.31496062992125984"/>
  <pageSetup paperSize="9" scale="52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</sheetPr>
  <dimension ref="A1:S166"/>
  <sheetViews>
    <sheetView zoomScale="80" zoomScaleNormal="80" workbookViewId="0">
      <pane xSplit="4" ySplit="11" topLeftCell="E150" activePane="bottomRight" state="frozen"/>
      <selection pane="topRight" activeCell="E1" sqref="E1"/>
      <selection pane="bottomLeft" activeCell="A12" sqref="A12"/>
      <selection pane="bottomRight" activeCell="H160" sqref="H160"/>
    </sheetView>
  </sheetViews>
  <sheetFormatPr defaultRowHeight="18.75"/>
  <cols>
    <col min="1" max="1" width="6.85546875" style="224" customWidth="1"/>
    <col min="2" max="2" width="10.28515625" style="224" customWidth="1"/>
    <col min="3" max="3" width="11" style="40" customWidth="1"/>
    <col min="4" max="4" width="46.42578125" style="40" customWidth="1"/>
    <col min="5" max="5" width="17.42578125" style="41" customWidth="1"/>
    <col min="6" max="6" width="18.85546875" style="209" customWidth="1"/>
    <col min="7" max="7" width="17.140625" style="201" customWidth="1"/>
    <col min="8" max="8" width="18.5703125" style="40" customWidth="1"/>
    <col min="9" max="9" width="9.140625" style="40"/>
    <col min="10" max="10" width="14.85546875" style="40" customWidth="1"/>
    <col min="11" max="16384" width="9.140625" style="40"/>
  </cols>
  <sheetData>
    <row r="1" spans="1:8" s="32" customFormat="1">
      <c r="A1" s="124"/>
      <c r="B1" s="123"/>
      <c r="C1" s="118"/>
      <c r="D1" s="118"/>
      <c r="E1" s="194"/>
      <c r="F1" s="201"/>
      <c r="G1" s="201"/>
      <c r="H1" s="125" t="s">
        <v>217</v>
      </c>
    </row>
    <row r="2" spans="1:8" s="32" customFormat="1">
      <c r="A2" s="124"/>
      <c r="B2" s="123"/>
      <c r="C2" s="118"/>
      <c r="D2" s="118"/>
      <c r="E2" s="195"/>
      <c r="F2" s="201"/>
      <c r="G2" s="201"/>
      <c r="H2" s="31" t="s">
        <v>157</v>
      </c>
    </row>
    <row r="3" spans="1:8" s="32" customFormat="1">
      <c r="A3" s="124"/>
      <c r="B3" s="123"/>
      <c r="C3" s="118"/>
      <c r="D3" s="118"/>
      <c r="E3" s="196"/>
      <c r="F3" s="201"/>
      <c r="G3" s="201"/>
      <c r="H3" s="125" t="s">
        <v>252</v>
      </c>
    </row>
    <row r="4" spans="1:8" s="32" customFormat="1">
      <c r="A4" s="124"/>
      <c r="B4" s="123"/>
      <c r="C4" s="118"/>
      <c r="D4" s="118"/>
      <c r="E4" s="196"/>
      <c r="F4" s="201"/>
      <c r="G4" s="201"/>
    </row>
    <row r="5" spans="1:8" ht="40.5" hidden="1" customHeight="1">
      <c r="B5" s="454" t="s">
        <v>144</v>
      </c>
      <c r="C5" s="454"/>
      <c r="D5" s="454"/>
      <c r="E5" s="454"/>
      <c r="F5" s="454"/>
    </row>
    <row r="6" spans="1:8" hidden="1">
      <c r="B6" s="154"/>
      <c r="C6" s="117"/>
      <c r="D6" s="117"/>
      <c r="E6" s="197"/>
      <c r="F6" s="202"/>
    </row>
    <row r="7" spans="1:8" ht="19.5" customHeight="1">
      <c r="A7" s="478" t="s">
        <v>156</v>
      </c>
      <c r="B7" s="478"/>
      <c r="C7" s="478"/>
      <c r="D7" s="478"/>
      <c r="E7" s="478"/>
      <c r="F7" s="478"/>
      <c r="G7" s="478"/>
      <c r="H7" s="478"/>
    </row>
    <row r="8" spans="1:8" ht="19.5" customHeight="1">
      <c r="B8" s="154"/>
      <c r="C8" s="119"/>
      <c r="D8" s="119"/>
      <c r="E8" s="198"/>
      <c r="F8" s="203"/>
    </row>
    <row r="9" spans="1:8" ht="72" customHeight="1">
      <c r="A9" s="476" t="s">
        <v>35</v>
      </c>
      <c r="B9" s="476" t="s">
        <v>1</v>
      </c>
      <c r="C9" s="476" t="s">
        <v>2</v>
      </c>
      <c r="D9" s="476" t="s">
        <v>145</v>
      </c>
      <c r="E9" s="477" t="s">
        <v>163</v>
      </c>
      <c r="F9" s="477"/>
      <c r="G9" s="477" t="s">
        <v>164</v>
      </c>
      <c r="H9" s="477"/>
    </row>
    <row r="10" spans="1:8" ht="58.5" customHeight="1">
      <c r="A10" s="476"/>
      <c r="B10" s="476"/>
      <c r="C10" s="476"/>
      <c r="D10" s="476"/>
      <c r="E10" s="138" t="s">
        <v>3</v>
      </c>
      <c r="F10" s="204" t="s">
        <v>37</v>
      </c>
      <c r="G10" s="204" t="s">
        <v>3</v>
      </c>
      <c r="H10" s="137" t="s">
        <v>37</v>
      </c>
    </row>
    <row r="11" spans="1:8">
      <c r="A11" s="139">
        <v>1</v>
      </c>
      <c r="B11" s="139">
        <v>2</v>
      </c>
      <c r="C11" s="139">
        <v>3</v>
      </c>
      <c r="D11" s="139">
        <v>4</v>
      </c>
      <c r="E11" s="199">
        <v>5</v>
      </c>
      <c r="F11" s="205">
        <v>6</v>
      </c>
      <c r="G11" s="205">
        <v>7</v>
      </c>
      <c r="H11" s="139">
        <v>8</v>
      </c>
    </row>
    <row r="12" spans="1:8">
      <c r="A12" s="114">
        <v>1</v>
      </c>
      <c r="B12" s="114">
        <v>530011</v>
      </c>
      <c r="C12" s="131" t="s">
        <v>165</v>
      </c>
      <c r="D12" s="127" t="s">
        <v>173</v>
      </c>
      <c r="E12" s="50">
        <f>SUM(E13:E30)</f>
        <v>0</v>
      </c>
      <c r="F12" s="206">
        <f>SUM(F13:F30)</f>
        <v>-9.3132257461547852E-10</v>
      </c>
      <c r="G12" s="206">
        <f>SUM(G13:G30)</f>
        <v>0</v>
      </c>
      <c r="H12" s="162">
        <f>SUM(H13:H30)</f>
        <v>-25164874.839999996</v>
      </c>
    </row>
    <row r="13" spans="1:8">
      <c r="A13" s="470"/>
      <c r="B13" s="148">
        <f>B12</f>
        <v>530011</v>
      </c>
      <c r="C13" s="83">
        <v>3</v>
      </c>
      <c r="D13" s="65" t="s">
        <v>77</v>
      </c>
      <c r="E13" s="200">
        <v>0</v>
      </c>
      <c r="F13" s="207">
        <v>0</v>
      </c>
      <c r="G13" s="207">
        <v>2</v>
      </c>
      <c r="H13" s="163">
        <v>2554.96</v>
      </c>
    </row>
    <row r="14" spans="1:8">
      <c r="A14" s="471"/>
      <c r="B14" s="148">
        <f>B12</f>
        <v>530011</v>
      </c>
      <c r="C14" s="83" t="s">
        <v>49</v>
      </c>
      <c r="D14" s="65" t="s">
        <v>4</v>
      </c>
      <c r="E14" s="200">
        <v>0</v>
      </c>
      <c r="F14" s="207">
        <v>0</v>
      </c>
      <c r="G14" s="207">
        <v>0</v>
      </c>
      <c r="H14" s="163">
        <v>-79203.759999999995</v>
      </c>
    </row>
    <row r="15" spans="1:8">
      <c r="A15" s="471"/>
      <c r="B15" s="148">
        <f>B12</f>
        <v>530011</v>
      </c>
      <c r="C15" s="83">
        <v>14</v>
      </c>
      <c r="D15" s="65" t="s">
        <v>47</v>
      </c>
      <c r="E15" s="200">
        <v>2</v>
      </c>
      <c r="F15" s="207">
        <v>2554.96</v>
      </c>
      <c r="G15" s="207">
        <v>2</v>
      </c>
      <c r="H15" s="163">
        <v>2554.96</v>
      </c>
    </row>
    <row r="16" spans="1:8">
      <c r="A16" s="471"/>
      <c r="B16" s="148">
        <f>B12</f>
        <v>530011</v>
      </c>
      <c r="C16" s="83" t="s">
        <v>87</v>
      </c>
      <c r="D16" s="65" t="s">
        <v>21</v>
      </c>
      <c r="E16" s="200">
        <v>0</v>
      </c>
      <c r="F16" s="207">
        <v>0</v>
      </c>
      <c r="G16" s="207">
        <v>0</v>
      </c>
      <c r="H16" s="163">
        <v>-53654.16</v>
      </c>
    </row>
    <row r="17" spans="1:8">
      <c r="A17" s="471"/>
      <c r="B17" s="148">
        <f>B12</f>
        <v>530011</v>
      </c>
      <c r="C17" s="83" t="s">
        <v>52</v>
      </c>
      <c r="D17" s="65" t="s">
        <v>6</v>
      </c>
      <c r="E17" s="200">
        <v>0</v>
      </c>
      <c r="F17" s="207">
        <v>0</v>
      </c>
      <c r="G17" s="207">
        <v>0</v>
      </c>
      <c r="H17" s="163">
        <v>-2052910.36</v>
      </c>
    </row>
    <row r="18" spans="1:8">
      <c r="A18" s="471"/>
      <c r="B18" s="148">
        <f>B12</f>
        <v>530011</v>
      </c>
      <c r="C18" s="83" t="s">
        <v>88</v>
      </c>
      <c r="D18" s="65" t="s">
        <v>89</v>
      </c>
      <c r="E18" s="200">
        <v>1000</v>
      </c>
      <c r="F18" s="207">
        <v>1277480</v>
      </c>
      <c r="G18" s="207">
        <v>1000</v>
      </c>
      <c r="H18" s="163">
        <v>1277480</v>
      </c>
    </row>
    <row r="19" spans="1:8">
      <c r="A19" s="471"/>
      <c r="B19" s="148">
        <f>B12</f>
        <v>530011</v>
      </c>
      <c r="C19" s="83" t="s">
        <v>54</v>
      </c>
      <c r="D19" s="65" t="s">
        <v>12</v>
      </c>
      <c r="E19" s="200">
        <v>0</v>
      </c>
      <c r="F19" s="207">
        <v>0</v>
      </c>
      <c r="G19" s="207">
        <v>0</v>
      </c>
      <c r="H19" s="163">
        <v>-569756.07999999996</v>
      </c>
    </row>
    <row r="20" spans="1:8" ht="37.5">
      <c r="A20" s="471"/>
      <c r="B20" s="148">
        <f>B12</f>
        <v>530011</v>
      </c>
      <c r="C20" s="83" t="s">
        <v>91</v>
      </c>
      <c r="D20" s="65" t="s">
        <v>15</v>
      </c>
      <c r="E20" s="200">
        <v>0</v>
      </c>
      <c r="F20" s="207">
        <v>0</v>
      </c>
      <c r="G20" s="207">
        <v>-2</v>
      </c>
      <c r="H20" s="163">
        <v>-4460756.4799999995</v>
      </c>
    </row>
    <row r="21" spans="1:8">
      <c r="A21" s="471"/>
      <c r="B21" s="148">
        <f>B12</f>
        <v>530011</v>
      </c>
      <c r="C21" s="83" t="s">
        <v>86</v>
      </c>
      <c r="D21" s="65" t="s">
        <v>24</v>
      </c>
      <c r="E21" s="200">
        <v>0</v>
      </c>
      <c r="F21" s="207">
        <v>0</v>
      </c>
      <c r="G21" s="207">
        <v>0</v>
      </c>
      <c r="H21" s="163">
        <v>-853356.64</v>
      </c>
    </row>
    <row r="22" spans="1:8">
      <c r="A22" s="471"/>
      <c r="B22" s="148">
        <f>B12</f>
        <v>530011</v>
      </c>
      <c r="C22" s="83" t="s">
        <v>58</v>
      </c>
      <c r="D22" s="65" t="s">
        <v>27</v>
      </c>
      <c r="E22" s="200">
        <v>1000</v>
      </c>
      <c r="F22" s="207">
        <v>1277480</v>
      </c>
      <c r="G22" s="207">
        <v>1000</v>
      </c>
      <c r="H22" s="163">
        <v>1277480</v>
      </c>
    </row>
    <row r="23" spans="1:8">
      <c r="A23" s="471"/>
      <c r="B23" s="148">
        <f>B12</f>
        <v>530011</v>
      </c>
      <c r="C23" s="83" t="s">
        <v>59</v>
      </c>
      <c r="D23" s="65" t="s">
        <v>7</v>
      </c>
      <c r="E23" s="200">
        <v>0</v>
      </c>
      <c r="F23" s="207">
        <v>0</v>
      </c>
      <c r="G23" s="207">
        <v>0</v>
      </c>
      <c r="H23" s="163">
        <v>-172459.8</v>
      </c>
    </row>
    <row r="24" spans="1:8">
      <c r="A24" s="471"/>
      <c r="B24" s="148">
        <f>B12</f>
        <v>530011</v>
      </c>
      <c r="C24" s="83" t="s">
        <v>60</v>
      </c>
      <c r="D24" s="65" t="s">
        <v>8</v>
      </c>
      <c r="E24" s="200">
        <v>3000</v>
      </c>
      <c r="F24" s="207">
        <v>3832440</v>
      </c>
      <c r="G24" s="207">
        <v>3000</v>
      </c>
      <c r="H24" s="163">
        <v>3832440</v>
      </c>
    </row>
    <row r="25" spans="1:8">
      <c r="A25" s="471"/>
      <c r="B25" s="148">
        <f>B12</f>
        <v>530011</v>
      </c>
      <c r="C25" s="83" t="s">
        <v>61</v>
      </c>
      <c r="D25" s="65" t="s">
        <v>16</v>
      </c>
      <c r="E25" s="200">
        <v>-7002</v>
      </c>
      <c r="F25" s="207">
        <v>-8944914.9600000009</v>
      </c>
      <c r="G25" s="207">
        <v>-7002</v>
      </c>
      <c r="H25" s="163">
        <v>-25802541.039999999</v>
      </c>
    </row>
    <row r="26" spans="1:8">
      <c r="A26" s="471"/>
      <c r="B26" s="148">
        <f>B12</f>
        <v>530011</v>
      </c>
      <c r="C26" s="83" t="s">
        <v>62</v>
      </c>
      <c r="D26" s="65" t="s">
        <v>14</v>
      </c>
      <c r="E26" s="200">
        <v>0</v>
      </c>
      <c r="F26" s="207">
        <v>0</v>
      </c>
      <c r="G26" s="207">
        <v>0</v>
      </c>
      <c r="H26" s="163">
        <v>-28104.560000000001</v>
      </c>
    </row>
    <row r="27" spans="1:8">
      <c r="A27" s="471"/>
      <c r="B27" s="148">
        <f>B12</f>
        <v>530011</v>
      </c>
      <c r="C27" s="83" t="s">
        <v>63</v>
      </c>
      <c r="D27" s="65" t="s">
        <v>41</v>
      </c>
      <c r="E27" s="200">
        <v>500</v>
      </c>
      <c r="F27" s="207">
        <v>638740</v>
      </c>
      <c r="G27" s="207">
        <v>500</v>
      </c>
      <c r="H27" s="163">
        <v>638740</v>
      </c>
    </row>
    <row r="28" spans="1:8">
      <c r="A28" s="471"/>
      <c r="B28" s="148">
        <f>B12</f>
        <v>530011</v>
      </c>
      <c r="C28" s="83" t="s">
        <v>64</v>
      </c>
      <c r="D28" s="65" t="s">
        <v>17</v>
      </c>
      <c r="E28" s="200">
        <v>500</v>
      </c>
      <c r="F28" s="207">
        <v>638740</v>
      </c>
      <c r="G28" s="207">
        <v>500</v>
      </c>
      <c r="H28" s="163">
        <v>638740</v>
      </c>
    </row>
    <row r="29" spans="1:8">
      <c r="A29" s="471"/>
      <c r="B29" s="148">
        <f>B12</f>
        <v>530011</v>
      </c>
      <c r="C29" s="83" t="s">
        <v>65</v>
      </c>
      <c r="D29" s="65" t="s">
        <v>32</v>
      </c>
      <c r="E29" s="200">
        <v>1000</v>
      </c>
      <c r="F29" s="207">
        <v>1277480</v>
      </c>
      <c r="G29" s="207">
        <v>1000</v>
      </c>
      <c r="H29" s="163">
        <v>1277480</v>
      </c>
    </row>
    <row r="30" spans="1:8" ht="38.25" customHeight="1">
      <c r="A30" s="472"/>
      <c r="B30" s="148">
        <f>B12</f>
        <v>530011</v>
      </c>
      <c r="C30" s="83" t="s">
        <v>67</v>
      </c>
      <c r="D30" s="65" t="s">
        <v>152</v>
      </c>
      <c r="E30" s="200">
        <v>0</v>
      </c>
      <c r="F30" s="207">
        <v>0</v>
      </c>
      <c r="G30" s="207">
        <v>0</v>
      </c>
      <c r="H30" s="163">
        <v>-39601.879999999997</v>
      </c>
    </row>
    <row r="31" spans="1:8">
      <c r="A31" s="114">
        <v>2</v>
      </c>
      <c r="B31" s="114">
        <v>530023</v>
      </c>
      <c r="C31" s="131" t="s">
        <v>165</v>
      </c>
      <c r="D31" s="127" t="s">
        <v>197</v>
      </c>
      <c r="E31" s="50">
        <f t="shared" ref="E31:H31" si="0">SUM(E32:E38)</f>
        <v>0</v>
      </c>
      <c r="F31" s="206">
        <f t="shared" si="0"/>
        <v>0</v>
      </c>
      <c r="G31" s="206">
        <f t="shared" si="0"/>
        <v>0</v>
      </c>
      <c r="H31" s="162">
        <f t="shared" si="0"/>
        <v>-758823.12</v>
      </c>
    </row>
    <row r="32" spans="1:8">
      <c r="A32" s="470"/>
      <c r="B32" s="148">
        <f>B31</f>
        <v>530023</v>
      </c>
      <c r="C32" s="146">
        <v>42</v>
      </c>
      <c r="D32" s="65" t="s">
        <v>89</v>
      </c>
      <c r="E32" s="200">
        <v>0</v>
      </c>
      <c r="F32" s="207">
        <v>0</v>
      </c>
      <c r="G32" s="207">
        <v>0</v>
      </c>
      <c r="H32" s="163">
        <v>-44711.8</v>
      </c>
    </row>
    <row r="33" spans="1:8" ht="37.5">
      <c r="A33" s="471"/>
      <c r="B33" s="148">
        <f>B31</f>
        <v>530023</v>
      </c>
      <c r="C33" s="146">
        <v>57</v>
      </c>
      <c r="D33" s="65" t="s">
        <v>15</v>
      </c>
      <c r="E33" s="200">
        <v>0</v>
      </c>
      <c r="F33" s="207">
        <v>0</v>
      </c>
      <c r="G33" s="207">
        <v>0</v>
      </c>
      <c r="H33" s="163">
        <v>-578698.44000000006</v>
      </c>
    </row>
    <row r="34" spans="1:8">
      <c r="A34" s="471"/>
      <c r="B34" s="148">
        <f>B31</f>
        <v>530023</v>
      </c>
      <c r="C34" s="146">
        <v>60</v>
      </c>
      <c r="D34" s="65" t="s">
        <v>24</v>
      </c>
      <c r="E34" s="200">
        <v>0</v>
      </c>
      <c r="F34" s="207">
        <v>0</v>
      </c>
      <c r="G34" s="207">
        <v>30</v>
      </c>
      <c r="H34" s="163">
        <v>38324.400000000001</v>
      </c>
    </row>
    <row r="35" spans="1:8">
      <c r="A35" s="471"/>
      <c r="B35" s="148">
        <f>B31</f>
        <v>530023</v>
      </c>
      <c r="C35" s="146">
        <v>65</v>
      </c>
      <c r="D35" s="65" t="s">
        <v>27</v>
      </c>
      <c r="E35" s="200">
        <v>0</v>
      </c>
      <c r="F35" s="207">
        <v>0</v>
      </c>
      <c r="G35" s="207">
        <v>0</v>
      </c>
      <c r="H35" s="163">
        <v>-49821.72</v>
      </c>
    </row>
    <row r="36" spans="1:8">
      <c r="A36" s="471"/>
      <c r="B36" s="148">
        <f>B31</f>
        <v>530023</v>
      </c>
      <c r="C36" s="146">
        <v>97</v>
      </c>
      <c r="D36" s="65" t="s">
        <v>16</v>
      </c>
      <c r="E36" s="200">
        <v>0</v>
      </c>
      <c r="F36" s="207">
        <v>0</v>
      </c>
      <c r="G36" s="207">
        <v>181</v>
      </c>
      <c r="H36" s="163">
        <v>231223.88</v>
      </c>
    </row>
    <row r="37" spans="1:8">
      <c r="A37" s="471"/>
      <c r="B37" s="148">
        <f>B31</f>
        <v>530023</v>
      </c>
      <c r="C37" s="146">
        <v>112</v>
      </c>
      <c r="D37" s="65" t="s">
        <v>17</v>
      </c>
      <c r="E37" s="200">
        <v>0</v>
      </c>
      <c r="F37" s="207">
        <v>0</v>
      </c>
      <c r="G37" s="207">
        <v>-111</v>
      </c>
      <c r="H37" s="163">
        <v>-186512.08000000002</v>
      </c>
    </row>
    <row r="38" spans="1:8">
      <c r="A38" s="472"/>
      <c r="B38" s="148">
        <f>B31</f>
        <v>530023</v>
      </c>
      <c r="C38" s="146">
        <v>136</v>
      </c>
      <c r="D38" s="65" t="s">
        <v>18</v>
      </c>
      <c r="E38" s="200">
        <v>0</v>
      </c>
      <c r="F38" s="207">
        <v>0</v>
      </c>
      <c r="G38" s="207">
        <v>-100</v>
      </c>
      <c r="H38" s="163">
        <v>-168627.36000000002</v>
      </c>
    </row>
    <row r="39" spans="1:8">
      <c r="A39" s="114">
        <v>3</v>
      </c>
      <c r="B39" s="114">
        <v>530024</v>
      </c>
      <c r="C39" s="131" t="s">
        <v>165</v>
      </c>
      <c r="D39" s="127" t="s">
        <v>175</v>
      </c>
      <c r="E39" s="50">
        <f t="shared" ref="E39:H39" si="1">SUM(E40:E41)</f>
        <v>0</v>
      </c>
      <c r="F39" s="206">
        <f t="shared" si="1"/>
        <v>0</v>
      </c>
      <c r="G39" s="206">
        <f t="shared" si="1"/>
        <v>0</v>
      </c>
      <c r="H39" s="162">
        <f t="shared" si="1"/>
        <v>0</v>
      </c>
    </row>
    <row r="40" spans="1:8">
      <c r="A40" s="470"/>
      <c r="B40" s="148">
        <f>B39</f>
        <v>530024</v>
      </c>
      <c r="C40" s="146">
        <v>42</v>
      </c>
      <c r="D40" s="65" t="s">
        <v>89</v>
      </c>
      <c r="E40" s="200">
        <v>0</v>
      </c>
      <c r="F40" s="207">
        <v>0</v>
      </c>
      <c r="G40" s="207">
        <v>-18</v>
      </c>
      <c r="H40" s="163">
        <v>-22994.639999999999</v>
      </c>
    </row>
    <row r="41" spans="1:8">
      <c r="A41" s="472"/>
      <c r="B41" s="148">
        <f>B39</f>
        <v>530024</v>
      </c>
      <c r="C41" s="146">
        <v>97</v>
      </c>
      <c r="D41" s="65" t="s">
        <v>16</v>
      </c>
      <c r="E41" s="200">
        <v>0</v>
      </c>
      <c r="F41" s="207">
        <v>0</v>
      </c>
      <c r="G41" s="207">
        <v>18</v>
      </c>
      <c r="H41" s="163">
        <v>22994.639999999999</v>
      </c>
    </row>
    <row r="42" spans="1:8">
      <c r="A42" s="114">
        <v>4</v>
      </c>
      <c r="B42" s="114">
        <v>530025</v>
      </c>
      <c r="C42" s="131" t="s">
        <v>165</v>
      </c>
      <c r="D42" s="127" t="s">
        <v>176</v>
      </c>
      <c r="E42" s="50">
        <f t="shared" ref="E42:H42" si="2">SUM(E43:E48)</f>
        <v>0</v>
      </c>
      <c r="F42" s="206">
        <f t="shared" si="2"/>
        <v>0</v>
      </c>
      <c r="G42" s="206">
        <f t="shared" si="2"/>
        <v>0</v>
      </c>
      <c r="H42" s="162">
        <f t="shared" si="2"/>
        <v>-2620111.4800000004</v>
      </c>
    </row>
    <row r="43" spans="1:8">
      <c r="A43" s="473"/>
      <c r="B43" s="148">
        <f>B42</f>
        <v>530025</v>
      </c>
      <c r="C43" s="146">
        <v>42</v>
      </c>
      <c r="D43" s="65" t="s">
        <v>89</v>
      </c>
      <c r="E43" s="200">
        <v>0</v>
      </c>
      <c r="F43" s="207">
        <v>0</v>
      </c>
      <c r="G43" s="207">
        <v>0</v>
      </c>
      <c r="H43" s="163">
        <v>-719221.24</v>
      </c>
    </row>
    <row r="44" spans="1:8">
      <c r="A44" s="474"/>
      <c r="B44" s="148">
        <f>B42</f>
        <v>530025</v>
      </c>
      <c r="C44" s="146">
        <v>53</v>
      </c>
      <c r="D44" s="65" t="s">
        <v>12</v>
      </c>
      <c r="E44" s="200">
        <v>0</v>
      </c>
      <c r="F44" s="207">
        <v>0</v>
      </c>
      <c r="G44" s="207">
        <v>0</v>
      </c>
      <c r="H44" s="163">
        <f>-17884.72+1277.48</f>
        <v>-16607.240000000002</v>
      </c>
    </row>
    <row r="45" spans="1:8">
      <c r="A45" s="474"/>
      <c r="B45" s="148">
        <f>B42</f>
        <v>530025</v>
      </c>
      <c r="C45" s="146">
        <v>65</v>
      </c>
      <c r="D45" s="65" t="s">
        <v>27</v>
      </c>
      <c r="E45" s="200">
        <v>0</v>
      </c>
      <c r="F45" s="207">
        <v>0</v>
      </c>
      <c r="G45" s="207">
        <v>1</v>
      </c>
      <c r="H45" s="163">
        <v>1277.48</v>
      </c>
    </row>
    <row r="46" spans="1:8">
      <c r="A46" s="474"/>
      <c r="B46" s="148">
        <f>B42</f>
        <v>530025</v>
      </c>
      <c r="C46" s="146">
        <v>97</v>
      </c>
      <c r="D46" s="65" t="s">
        <v>16</v>
      </c>
      <c r="E46" s="200">
        <v>0</v>
      </c>
      <c r="F46" s="207">
        <v>0</v>
      </c>
      <c r="G46" s="207">
        <v>-1</v>
      </c>
      <c r="H46" s="163">
        <v>-1501039</v>
      </c>
    </row>
    <row r="47" spans="1:8">
      <c r="A47" s="474"/>
      <c r="B47" s="148">
        <f>B42</f>
        <v>530025</v>
      </c>
      <c r="C47" s="146">
        <v>112</v>
      </c>
      <c r="D47" s="65" t="s">
        <v>17</v>
      </c>
      <c r="E47" s="200">
        <v>0</v>
      </c>
      <c r="F47" s="207">
        <v>0</v>
      </c>
      <c r="G47" s="207">
        <v>0</v>
      </c>
      <c r="H47" s="163">
        <v>-112418.24000000001</v>
      </c>
    </row>
    <row r="48" spans="1:8">
      <c r="A48" s="475"/>
      <c r="B48" s="148">
        <f>B42</f>
        <v>530025</v>
      </c>
      <c r="C48" s="146">
        <v>136</v>
      </c>
      <c r="D48" s="65" t="s">
        <v>18</v>
      </c>
      <c r="E48" s="200">
        <v>0</v>
      </c>
      <c r="F48" s="207">
        <v>0</v>
      </c>
      <c r="G48" s="207">
        <v>0</v>
      </c>
      <c r="H48" s="163">
        <f>-270825.76-1277.48</f>
        <v>-272103.24</v>
      </c>
    </row>
    <row r="49" spans="1:8">
      <c r="A49" s="114">
        <v>5</v>
      </c>
      <c r="B49" s="114">
        <v>530026</v>
      </c>
      <c r="C49" s="131" t="s">
        <v>165</v>
      </c>
      <c r="D49" s="127" t="s">
        <v>177</v>
      </c>
      <c r="E49" s="50">
        <f>SUM(E50:E55)</f>
        <v>0</v>
      </c>
      <c r="F49" s="206">
        <f>SUM(F50:F55)</f>
        <v>0</v>
      </c>
      <c r="G49" s="206">
        <f>SUM(G50:G55)</f>
        <v>0</v>
      </c>
      <c r="H49" s="162">
        <f>SUM(H50:H55)</f>
        <v>-1360516.2</v>
      </c>
    </row>
    <row r="50" spans="1:8">
      <c r="A50" s="470"/>
      <c r="B50" s="148">
        <f>B49</f>
        <v>530026</v>
      </c>
      <c r="C50" s="146">
        <v>29</v>
      </c>
      <c r="D50" s="65" t="s">
        <v>6</v>
      </c>
      <c r="E50" s="200">
        <v>0</v>
      </c>
      <c r="F50" s="207">
        <v>0</v>
      </c>
      <c r="G50" s="207">
        <v>0</v>
      </c>
      <c r="H50" s="163">
        <v>-22994.639999999999</v>
      </c>
    </row>
    <row r="51" spans="1:8">
      <c r="A51" s="471"/>
      <c r="B51" s="148">
        <f>B49</f>
        <v>530026</v>
      </c>
      <c r="C51" s="146">
        <v>42</v>
      </c>
      <c r="D51" s="65" t="s">
        <v>89</v>
      </c>
      <c r="E51" s="200">
        <v>0</v>
      </c>
      <c r="F51" s="207">
        <v>0</v>
      </c>
      <c r="G51" s="207">
        <v>0</v>
      </c>
      <c r="H51" s="163">
        <v>-632352.6</v>
      </c>
    </row>
    <row r="52" spans="1:8">
      <c r="A52" s="471"/>
      <c r="B52" s="148">
        <f>B49</f>
        <v>530026</v>
      </c>
      <c r="C52" s="146">
        <v>53</v>
      </c>
      <c r="D52" s="65" t="s">
        <v>12</v>
      </c>
      <c r="E52" s="200">
        <v>0</v>
      </c>
      <c r="F52" s="207">
        <v>0</v>
      </c>
      <c r="G52" s="207">
        <v>0</v>
      </c>
      <c r="H52" s="163">
        <v>-2554.96</v>
      </c>
    </row>
    <row r="53" spans="1:8" ht="37.5">
      <c r="A53" s="471"/>
      <c r="B53" s="148">
        <f>B49</f>
        <v>530026</v>
      </c>
      <c r="C53" s="146">
        <v>57</v>
      </c>
      <c r="D53" s="65" t="s">
        <v>15</v>
      </c>
      <c r="E53" s="200">
        <v>0</v>
      </c>
      <c r="F53" s="207">
        <v>0</v>
      </c>
      <c r="G53" s="207">
        <v>0</v>
      </c>
      <c r="H53" s="163">
        <v>-353861.96</v>
      </c>
    </row>
    <row r="54" spans="1:8">
      <c r="A54" s="471"/>
      <c r="B54" s="148">
        <f>B49</f>
        <v>530026</v>
      </c>
      <c r="C54" s="146">
        <v>122</v>
      </c>
      <c r="D54" s="65" t="s">
        <v>32</v>
      </c>
      <c r="E54" s="200">
        <v>0</v>
      </c>
      <c r="F54" s="207">
        <v>0</v>
      </c>
      <c r="G54" s="207">
        <v>0</v>
      </c>
      <c r="H54" s="163">
        <v>-194176.96</v>
      </c>
    </row>
    <row r="55" spans="1:8">
      <c r="A55" s="472"/>
      <c r="B55" s="148">
        <f>B49</f>
        <v>530026</v>
      </c>
      <c r="C55" s="146">
        <v>136</v>
      </c>
      <c r="D55" s="65" t="s">
        <v>18</v>
      </c>
      <c r="E55" s="200">
        <v>0</v>
      </c>
      <c r="F55" s="207">
        <v>0</v>
      </c>
      <c r="G55" s="207">
        <v>0</v>
      </c>
      <c r="H55" s="163">
        <v>-154575.08000000002</v>
      </c>
    </row>
    <row r="56" spans="1:8">
      <c r="A56" s="114">
        <v>6</v>
      </c>
      <c r="B56" s="114">
        <v>530027</v>
      </c>
      <c r="C56" s="131" t="s">
        <v>165</v>
      </c>
      <c r="D56" s="127" t="s">
        <v>178</v>
      </c>
      <c r="E56" s="50">
        <f>SUM(E57:E57)</f>
        <v>0</v>
      </c>
      <c r="F56" s="206">
        <f>SUM(F57:F57)</f>
        <v>0</v>
      </c>
      <c r="G56" s="206">
        <f>SUM(G57:G57)</f>
        <v>0</v>
      </c>
      <c r="H56" s="162">
        <f>SUM(H57:H57)</f>
        <v>-12774.8</v>
      </c>
    </row>
    <row r="57" spans="1:8">
      <c r="A57" s="280"/>
      <c r="B57" s="148">
        <f>B56</f>
        <v>530027</v>
      </c>
      <c r="C57" s="146">
        <v>97</v>
      </c>
      <c r="D57" s="65" t="s">
        <v>16</v>
      </c>
      <c r="E57" s="200">
        <v>0</v>
      </c>
      <c r="F57" s="207">
        <v>0</v>
      </c>
      <c r="G57" s="207">
        <v>0</v>
      </c>
      <c r="H57" s="163">
        <f>-11497.32-1277.48</f>
        <v>-12774.8</v>
      </c>
    </row>
    <row r="58" spans="1:8">
      <c r="A58" s="114">
        <v>7</v>
      </c>
      <c r="B58" s="114">
        <v>530032</v>
      </c>
      <c r="C58" s="131" t="s">
        <v>165</v>
      </c>
      <c r="D58" s="127" t="s">
        <v>179</v>
      </c>
      <c r="E58" s="50">
        <f t="shared" ref="E58:H58" si="3">SUM(E59:E66)</f>
        <v>0</v>
      </c>
      <c r="F58" s="206">
        <f t="shared" si="3"/>
        <v>0</v>
      </c>
      <c r="G58" s="206">
        <f t="shared" si="3"/>
        <v>0</v>
      </c>
      <c r="H58" s="162">
        <f t="shared" si="3"/>
        <v>-1599404.96</v>
      </c>
    </row>
    <row r="59" spans="1:8">
      <c r="A59" s="470"/>
      <c r="B59" s="148">
        <f>B58</f>
        <v>530032</v>
      </c>
      <c r="C59" s="146">
        <v>28</v>
      </c>
      <c r="D59" s="65" t="s">
        <v>21</v>
      </c>
      <c r="E59" s="200">
        <v>0</v>
      </c>
      <c r="F59" s="207">
        <v>0</v>
      </c>
      <c r="G59" s="207">
        <v>2</v>
      </c>
      <c r="H59" s="163">
        <v>2554.96</v>
      </c>
    </row>
    <row r="60" spans="1:8">
      <c r="A60" s="471"/>
      <c r="B60" s="148">
        <f>B58</f>
        <v>530032</v>
      </c>
      <c r="C60" s="146">
        <v>42</v>
      </c>
      <c r="D60" s="65" t="s">
        <v>89</v>
      </c>
      <c r="E60" s="200">
        <v>0</v>
      </c>
      <c r="F60" s="207">
        <v>0</v>
      </c>
      <c r="G60" s="207">
        <v>0</v>
      </c>
      <c r="H60" s="163">
        <v>-185234.6</v>
      </c>
    </row>
    <row r="61" spans="1:8">
      <c r="A61" s="471"/>
      <c r="B61" s="148">
        <f>B58</f>
        <v>530032</v>
      </c>
      <c r="C61" s="146">
        <v>53</v>
      </c>
      <c r="D61" s="65" t="s">
        <v>12</v>
      </c>
      <c r="E61" s="200">
        <v>0</v>
      </c>
      <c r="F61" s="207">
        <v>0</v>
      </c>
      <c r="G61" s="207">
        <v>0</v>
      </c>
      <c r="H61" s="163">
        <v>-215894.12</v>
      </c>
    </row>
    <row r="62" spans="1:8" ht="37.5">
      <c r="A62" s="471"/>
      <c r="B62" s="148">
        <f>B58</f>
        <v>530032</v>
      </c>
      <c r="C62" s="146">
        <v>57</v>
      </c>
      <c r="D62" s="65" t="s">
        <v>15</v>
      </c>
      <c r="E62" s="200">
        <v>0</v>
      </c>
      <c r="F62" s="207">
        <v>0</v>
      </c>
      <c r="G62" s="207">
        <v>0</v>
      </c>
      <c r="H62" s="163">
        <v>-365359.28</v>
      </c>
    </row>
    <row r="63" spans="1:8">
      <c r="A63" s="471"/>
      <c r="B63" s="148">
        <f>B58</f>
        <v>530032</v>
      </c>
      <c r="C63" s="146">
        <v>60</v>
      </c>
      <c r="D63" s="65" t="s">
        <v>24</v>
      </c>
      <c r="E63" s="200">
        <v>0</v>
      </c>
      <c r="F63" s="207">
        <v>0</v>
      </c>
      <c r="G63" s="207">
        <v>0</v>
      </c>
      <c r="H63" s="163">
        <v>-116250.68000000001</v>
      </c>
    </row>
    <row r="64" spans="1:8">
      <c r="A64" s="471"/>
      <c r="B64" s="148">
        <f>B58</f>
        <v>530032</v>
      </c>
      <c r="C64" s="146">
        <v>97</v>
      </c>
      <c r="D64" s="65" t="s">
        <v>16</v>
      </c>
      <c r="E64" s="200">
        <v>0</v>
      </c>
      <c r="F64" s="207">
        <v>0</v>
      </c>
      <c r="G64" s="207">
        <v>-3</v>
      </c>
      <c r="H64" s="163">
        <v>-585085.84</v>
      </c>
    </row>
    <row r="65" spans="1:8">
      <c r="A65" s="471"/>
      <c r="B65" s="148">
        <f>B58</f>
        <v>530032</v>
      </c>
      <c r="C65" s="146">
        <v>122</v>
      </c>
      <c r="D65" s="65" t="s">
        <v>32</v>
      </c>
      <c r="E65" s="200">
        <v>0</v>
      </c>
      <c r="F65" s="207">
        <v>0</v>
      </c>
      <c r="G65" s="207">
        <v>0</v>
      </c>
      <c r="H65" s="163">
        <v>-135412.88</v>
      </c>
    </row>
    <row r="66" spans="1:8" ht="38.25" customHeight="1">
      <c r="A66" s="472"/>
      <c r="B66" s="148">
        <f>B58</f>
        <v>530032</v>
      </c>
      <c r="C66" s="146">
        <v>162</v>
      </c>
      <c r="D66" s="65" t="s">
        <v>152</v>
      </c>
      <c r="E66" s="200">
        <v>0</v>
      </c>
      <c r="F66" s="207">
        <v>0</v>
      </c>
      <c r="G66" s="207">
        <v>1</v>
      </c>
      <c r="H66" s="163">
        <v>1277.48</v>
      </c>
    </row>
    <row r="67" spans="1:8">
      <c r="A67" s="114">
        <v>8</v>
      </c>
      <c r="B67" s="114">
        <v>530034</v>
      </c>
      <c r="C67" s="131" t="s">
        <v>165</v>
      </c>
      <c r="D67" s="127" t="s">
        <v>195</v>
      </c>
      <c r="E67" s="50">
        <f t="shared" ref="E67:H67" si="4">SUM(E68:E73)</f>
        <v>0</v>
      </c>
      <c r="F67" s="206">
        <f t="shared" si="4"/>
        <v>0</v>
      </c>
      <c r="G67" s="206">
        <f t="shared" si="4"/>
        <v>0</v>
      </c>
      <c r="H67" s="162">
        <f t="shared" si="4"/>
        <v>-4294887.7600000007</v>
      </c>
    </row>
    <row r="68" spans="1:8">
      <c r="A68" s="470"/>
      <c r="B68" s="148">
        <f>B67</f>
        <v>530034</v>
      </c>
      <c r="C68" s="146">
        <v>16</v>
      </c>
      <c r="D68" s="65" t="s">
        <v>154</v>
      </c>
      <c r="E68" s="200">
        <v>0</v>
      </c>
      <c r="F68" s="207">
        <v>0</v>
      </c>
      <c r="G68" s="207">
        <v>0</v>
      </c>
      <c r="H68" s="163">
        <v>-108585.8</v>
      </c>
    </row>
    <row r="69" spans="1:8">
      <c r="A69" s="471"/>
      <c r="B69" s="148">
        <f>B67</f>
        <v>530034</v>
      </c>
      <c r="C69" s="146">
        <v>42</v>
      </c>
      <c r="D69" s="65" t="s">
        <v>89</v>
      </c>
      <c r="E69" s="200">
        <v>0</v>
      </c>
      <c r="F69" s="207">
        <v>0</v>
      </c>
      <c r="G69" s="207">
        <v>0</v>
      </c>
      <c r="H69" s="163">
        <v>-470112.64</v>
      </c>
    </row>
    <row r="70" spans="1:8">
      <c r="A70" s="471"/>
      <c r="B70" s="148">
        <f>B67</f>
        <v>530034</v>
      </c>
      <c r="C70" s="146">
        <v>53</v>
      </c>
      <c r="D70" s="65" t="s">
        <v>12</v>
      </c>
      <c r="E70" s="200">
        <v>0</v>
      </c>
      <c r="F70" s="207">
        <v>0</v>
      </c>
      <c r="G70" s="207">
        <v>0</v>
      </c>
      <c r="H70" s="163">
        <v>-37046.92</v>
      </c>
    </row>
    <row r="71" spans="1:8">
      <c r="A71" s="471"/>
      <c r="B71" s="148">
        <f>B67</f>
        <v>530034</v>
      </c>
      <c r="C71" s="146">
        <v>97</v>
      </c>
      <c r="D71" s="65" t="s">
        <v>16</v>
      </c>
      <c r="E71" s="200">
        <v>0</v>
      </c>
      <c r="F71" s="207">
        <v>0</v>
      </c>
      <c r="G71" s="207">
        <v>0</v>
      </c>
      <c r="H71" s="163">
        <v>-3542452.04</v>
      </c>
    </row>
    <row r="72" spans="1:8">
      <c r="A72" s="471"/>
      <c r="B72" s="148">
        <f>B67</f>
        <v>530034</v>
      </c>
      <c r="C72" s="146">
        <v>112</v>
      </c>
      <c r="D72" s="65" t="s">
        <v>17</v>
      </c>
      <c r="E72" s="200">
        <v>0</v>
      </c>
      <c r="F72" s="207">
        <v>0</v>
      </c>
      <c r="G72" s="207">
        <v>0</v>
      </c>
      <c r="H72" s="163">
        <f>-22994.64+1277.48</f>
        <v>-21717.16</v>
      </c>
    </row>
    <row r="73" spans="1:8" ht="36.75" customHeight="1">
      <c r="A73" s="472"/>
      <c r="B73" s="148">
        <f>B67</f>
        <v>530034</v>
      </c>
      <c r="C73" s="146">
        <v>162</v>
      </c>
      <c r="D73" s="65" t="s">
        <v>152</v>
      </c>
      <c r="E73" s="200">
        <v>0</v>
      </c>
      <c r="F73" s="207">
        <v>0</v>
      </c>
      <c r="G73" s="207">
        <v>0</v>
      </c>
      <c r="H73" s="163">
        <f>-113695.72-1277.48</f>
        <v>-114973.2</v>
      </c>
    </row>
    <row r="74" spans="1:8">
      <c r="A74" s="114">
        <v>9</v>
      </c>
      <c r="B74" s="114">
        <v>530037</v>
      </c>
      <c r="C74" s="131" t="s">
        <v>165</v>
      </c>
      <c r="D74" s="127" t="s">
        <v>20</v>
      </c>
      <c r="E74" s="50">
        <f t="shared" ref="E74:H74" si="5">SUM(E75:E78)</f>
        <v>0</v>
      </c>
      <c r="F74" s="206">
        <f t="shared" si="5"/>
        <v>0</v>
      </c>
      <c r="G74" s="206">
        <f t="shared" si="5"/>
        <v>0</v>
      </c>
      <c r="H74" s="162">
        <f t="shared" si="5"/>
        <v>-1755257.52</v>
      </c>
    </row>
    <row r="75" spans="1:8">
      <c r="A75" s="470"/>
      <c r="B75" s="148">
        <f>B74</f>
        <v>530037</v>
      </c>
      <c r="C75" s="146">
        <v>42</v>
      </c>
      <c r="D75" s="65" t="s">
        <v>89</v>
      </c>
      <c r="E75" s="200">
        <v>0</v>
      </c>
      <c r="F75" s="207">
        <v>0</v>
      </c>
      <c r="G75" s="207">
        <v>0</v>
      </c>
      <c r="H75" s="163">
        <v>-1230213.24</v>
      </c>
    </row>
    <row r="76" spans="1:8">
      <c r="A76" s="471"/>
      <c r="B76" s="148">
        <f>B74</f>
        <v>530037</v>
      </c>
      <c r="C76" s="146">
        <v>53</v>
      </c>
      <c r="D76" s="65" t="s">
        <v>12</v>
      </c>
      <c r="E76" s="200">
        <v>0</v>
      </c>
      <c r="F76" s="207">
        <v>0</v>
      </c>
      <c r="G76" s="207">
        <v>0</v>
      </c>
      <c r="H76" s="163">
        <v>-71538.880000000005</v>
      </c>
    </row>
    <row r="77" spans="1:8">
      <c r="A77" s="471"/>
      <c r="B77" s="148">
        <f>B74</f>
        <v>530037</v>
      </c>
      <c r="C77" s="146">
        <v>97</v>
      </c>
      <c r="D77" s="65" t="s">
        <v>16</v>
      </c>
      <c r="E77" s="200">
        <v>0</v>
      </c>
      <c r="F77" s="207">
        <v>0</v>
      </c>
      <c r="G77" s="207">
        <v>0</v>
      </c>
      <c r="H77" s="163">
        <v>-447118</v>
      </c>
    </row>
    <row r="78" spans="1:8">
      <c r="A78" s="472"/>
      <c r="B78" s="148">
        <f>B74</f>
        <v>530037</v>
      </c>
      <c r="C78" s="146">
        <v>112</v>
      </c>
      <c r="D78" s="65" t="s">
        <v>17</v>
      </c>
      <c r="E78" s="200">
        <v>0</v>
      </c>
      <c r="F78" s="207">
        <v>0</v>
      </c>
      <c r="G78" s="207">
        <v>0</v>
      </c>
      <c r="H78" s="163">
        <v>-6387.4</v>
      </c>
    </row>
    <row r="79" spans="1:8">
      <c r="A79" s="114">
        <v>10</v>
      </c>
      <c r="B79" s="114">
        <v>530040</v>
      </c>
      <c r="C79" s="131" t="s">
        <v>165</v>
      </c>
      <c r="D79" s="127" t="s">
        <v>198</v>
      </c>
      <c r="E79" s="50">
        <f>SUM(E80:E85)</f>
        <v>0</v>
      </c>
      <c r="F79" s="206">
        <f>SUM(F80:F85)</f>
        <v>0</v>
      </c>
      <c r="G79" s="206">
        <f>SUM(G80:G85)</f>
        <v>0</v>
      </c>
      <c r="H79" s="162">
        <f>SUM(H80:H85)</f>
        <v>-1980094</v>
      </c>
    </row>
    <row r="80" spans="1:8">
      <c r="A80" s="470"/>
      <c r="B80" s="148">
        <f>B79</f>
        <v>530040</v>
      </c>
      <c r="C80" s="146">
        <v>42</v>
      </c>
      <c r="D80" s="65" t="s">
        <v>89</v>
      </c>
      <c r="E80" s="200">
        <v>0</v>
      </c>
      <c r="F80" s="207">
        <v>0</v>
      </c>
      <c r="G80" s="207">
        <v>0</v>
      </c>
      <c r="H80" s="163">
        <v>-233778.84</v>
      </c>
    </row>
    <row r="81" spans="1:8">
      <c r="A81" s="471"/>
      <c r="B81" s="148">
        <f>B79</f>
        <v>530040</v>
      </c>
      <c r="C81" s="146">
        <v>53</v>
      </c>
      <c r="D81" s="65" t="s">
        <v>12</v>
      </c>
      <c r="E81" s="200">
        <v>0</v>
      </c>
      <c r="F81" s="207">
        <v>0</v>
      </c>
      <c r="G81" s="207">
        <v>0</v>
      </c>
      <c r="H81" s="163">
        <v>-16607.240000000002</v>
      </c>
    </row>
    <row r="82" spans="1:8" ht="37.5">
      <c r="A82" s="471"/>
      <c r="B82" s="148">
        <f>B79</f>
        <v>530040</v>
      </c>
      <c r="C82" s="146">
        <v>57</v>
      </c>
      <c r="D82" s="65" t="s">
        <v>15</v>
      </c>
      <c r="E82" s="200">
        <v>0</v>
      </c>
      <c r="F82" s="207">
        <v>0</v>
      </c>
      <c r="G82" s="207">
        <v>10</v>
      </c>
      <c r="H82" s="163">
        <v>12774.8</v>
      </c>
    </row>
    <row r="83" spans="1:8">
      <c r="A83" s="471"/>
      <c r="B83" s="148">
        <f>B79</f>
        <v>530040</v>
      </c>
      <c r="C83" s="146">
        <v>97</v>
      </c>
      <c r="D83" s="65" t="s">
        <v>16</v>
      </c>
      <c r="E83" s="200">
        <v>0</v>
      </c>
      <c r="F83" s="207">
        <v>0</v>
      </c>
      <c r="G83" s="207">
        <v>-10</v>
      </c>
      <c r="H83" s="163">
        <v>-1326024.24</v>
      </c>
    </row>
    <row r="84" spans="1:8">
      <c r="A84" s="471"/>
      <c r="B84" s="148">
        <f>B79</f>
        <v>530040</v>
      </c>
      <c r="C84" s="146">
        <v>136</v>
      </c>
      <c r="D84" s="65" t="s">
        <v>18</v>
      </c>
      <c r="E84" s="200">
        <v>0</v>
      </c>
      <c r="F84" s="207">
        <v>0</v>
      </c>
      <c r="G84" s="207">
        <v>0</v>
      </c>
      <c r="H84" s="163">
        <v>-264438.36</v>
      </c>
    </row>
    <row r="85" spans="1:8" ht="37.5" customHeight="1">
      <c r="A85" s="472"/>
      <c r="B85" s="148">
        <f>B79</f>
        <v>530040</v>
      </c>
      <c r="C85" s="146">
        <v>162</v>
      </c>
      <c r="D85" s="65" t="s">
        <v>152</v>
      </c>
      <c r="E85" s="200">
        <v>0</v>
      </c>
      <c r="F85" s="207">
        <v>0</v>
      </c>
      <c r="G85" s="207">
        <v>0</v>
      </c>
      <c r="H85" s="163">
        <v>-152020.12</v>
      </c>
    </row>
    <row r="86" spans="1:8">
      <c r="A86" s="114">
        <v>11</v>
      </c>
      <c r="B86" s="215">
        <v>530042</v>
      </c>
      <c r="C86" s="50" t="s">
        <v>165</v>
      </c>
      <c r="D86" s="127" t="s">
        <v>180</v>
      </c>
      <c r="E86" s="50">
        <f t="shared" ref="E86:H86" si="6">SUM(E87:E93)</f>
        <v>0</v>
      </c>
      <c r="F86" s="206">
        <f t="shared" si="6"/>
        <v>0</v>
      </c>
      <c r="G86" s="206">
        <f t="shared" si="6"/>
        <v>0</v>
      </c>
      <c r="H86" s="162">
        <f t="shared" si="6"/>
        <v>-1276202.52</v>
      </c>
    </row>
    <row r="87" spans="1:8">
      <c r="A87" s="470"/>
      <c r="B87" s="148">
        <f>B86</f>
        <v>530042</v>
      </c>
      <c r="C87" s="146">
        <v>28</v>
      </c>
      <c r="D87" s="65" t="s">
        <v>21</v>
      </c>
      <c r="E87" s="200">
        <v>0</v>
      </c>
      <c r="F87" s="207">
        <v>0</v>
      </c>
      <c r="G87" s="207">
        <v>0</v>
      </c>
      <c r="H87" s="163">
        <v>-1277.48</v>
      </c>
    </row>
    <row r="88" spans="1:8">
      <c r="A88" s="471"/>
      <c r="B88" s="148">
        <f>B86</f>
        <v>530042</v>
      </c>
      <c r="C88" s="146">
        <v>42</v>
      </c>
      <c r="D88" s="65" t="s">
        <v>89</v>
      </c>
      <c r="E88" s="200">
        <v>0</v>
      </c>
      <c r="F88" s="207">
        <v>0</v>
      </c>
      <c r="G88" s="207">
        <v>0</v>
      </c>
      <c r="H88" s="163">
        <v>-200564.36000000002</v>
      </c>
    </row>
    <row r="89" spans="1:8">
      <c r="A89" s="471"/>
      <c r="B89" s="148">
        <f>B86</f>
        <v>530042</v>
      </c>
      <c r="C89" s="146">
        <v>53</v>
      </c>
      <c r="D89" s="65" t="s">
        <v>12</v>
      </c>
      <c r="E89" s="200">
        <v>0</v>
      </c>
      <c r="F89" s="207">
        <v>0</v>
      </c>
      <c r="G89" s="207">
        <v>0</v>
      </c>
      <c r="H89" s="163">
        <v>-10219.84</v>
      </c>
    </row>
    <row r="90" spans="1:8" ht="37.5">
      <c r="A90" s="471"/>
      <c r="B90" s="148">
        <f>B86</f>
        <v>530042</v>
      </c>
      <c r="C90" s="146">
        <v>57</v>
      </c>
      <c r="D90" s="65" t="s">
        <v>15</v>
      </c>
      <c r="E90" s="200">
        <v>0</v>
      </c>
      <c r="F90" s="207">
        <v>0</v>
      </c>
      <c r="G90" s="207">
        <v>0</v>
      </c>
      <c r="H90" s="163">
        <v>-424123.36</v>
      </c>
    </row>
    <row r="91" spans="1:8">
      <c r="A91" s="471"/>
      <c r="B91" s="148">
        <f>B86</f>
        <v>530042</v>
      </c>
      <c r="C91" s="146">
        <v>97</v>
      </c>
      <c r="D91" s="65" t="s">
        <v>16</v>
      </c>
      <c r="E91" s="200">
        <v>0</v>
      </c>
      <c r="F91" s="207">
        <v>0</v>
      </c>
      <c r="G91" s="207">
        <v>0</v>
      </c>
      <c r="H91" s="163">
        <v>-546761.44000000006</v>
      </c>
    </row>
    <row r="92" spans="1:8">
      <c r="A92" s="471"/>
      <c r="B92" s="148">
        <f>B86</f>
        <v>530042</v>
      </c>
      <c r="C92" s="146">
        <v>112</v>
      </c>
      <c r="D92" s="65" t="s">
        <v>17</v>
      </c>
      <c r="E92" s="200">
        <v>0</v>
      </c>
      <c r="F92" s="207">
        <v>0</v>
      </c>
      <c r="G92" s="207">
        <v>0</v>
      </c>
      <c r="H92" s="163">
        <v>-1277.48</v>
      </c>
    </row>
    <row r="93" spans="1:8">
      <c r="A93" s="472"/>
      <c r="B93" s="148">
        <f>B86</f>
        <v>530042</v>
      </c>
      <c r="C93" s="146">
        <v>136</v>
      </c>
      <c r="D93" s="65" t="s">
        <v>18</v>
      </c>
      <c r="E93" s="200">
        <v>0</v>
      </c>
      <c r="F93" s="207">
        <v>0</v>
      </c>
      <c r="G93" s="207">
        <v>0</v>
      </c>
      <c r="H93" s="163">
        <v>-91978.559999999998</v>
      </c>
    </row>
    <row r="94" spans="1:8">
      <c r="A94" s="114">
        <v>12</v>
      </c>
      <c r="B94" s="114">
        <v>530045</v>
      </c>
      <c r="C94" s="131" t="s">
        <v>165</v>
      </c>
      <c r="D94" s="127" t="s">
        <v>22</v>
      </c>
      <c r="E94" s="50">
        <f t="shared" ref="E94:H94" si="7">SUM(E95:E97)</f>
        <v>0</v>
      </c>
      <c r="F94" s="206">
        <f t="shared" si="7"/>
        <v>0</v>
      </c>
      <c r="G94" s="206">
        <f t="shared" si="7"/>
        <v>0</v>
      </c>
      <c r="H94" s="162">
        <f t="shared" si="7"/>
        <v>-2221537.7199999997</v>
      </c>
    </row>
    <row r="95" spans="1:8">
      <c r="A95" s="470"/>
      <c r="B95" s="148">
        <f>B94</f>
        <v>530045</v>
      </c>
      <c r="C95" s="146">
        <v>42</v>
      </c>
      <c r="D95" s="65" t="s">
        <v>89</v>
      </c>
      <c r="E95" s="200">
        <v>0</v>
      </c>
      <c r="F95" s="207">
        <v>0</v>
      </c>
      <c r="G95" s="207">
        <v>0</v>
      </c>
      <c r="H95" s="163">
        <v>-611912.92000000004</v>
      </c>
    </row>
    <row r="96" spans="1:8">
      <c r="A96" s="471"/>
      <c r="B96" s="148">
        <f>B94</f>
        <v>530045</v>
      </c>
      <c r="C96" s="146">
        <v>53</v>
      </c>
      <c r="D96" s="65" t="s">
        <v>12</v>
      </c>
      <c r="E96" s="200">
        <v>0</v>
      </c>
      <c r="F96" s="207">
        <v>0</v>
      </c>
      <c r="G96" s="207">
        <v>0</v>
      </c>
      <c r="H96" s="163">
        <v>-107308.32</v>
      </c>
    </row>
    <row r="97" spans="1:19">
      <c r="A97" s="472"/>
      <c r="B97" s="148">
        <f>B94</f>
        <v>530045</v>
      </c>
      <c r="C97" s="146">
        <v>97</v>
      </c>
      <c r="D97" s="65" t="s">
        <v>16</v>
      </c>
      <c r="E97" s="200">
        <v>0</v>
      </c>
      <c r="F97" s="207">
        <v>0</v>
      </c>
      <c r="G97" s="207">
        <v>0</v>
      </c>
      <c r="H97" s="163">
        <v>-1502316.48</v>
      </c>
    </row>
    <row r="98" spans="1:19">
      <c r="A98" s="114">
        <v>13</v>
      </c>
      <c r="B98" s="114">
        <v>530050</v>
      </c>
      <c r="C98" s="50" t="s">
        <v>165</v>
      </c>
      <c r="D98" s="127" t="s">
        <v>23</v>
      </c>
      <c r="E98" s="50">
        <f t="shared" ref="E98:H98" si="8">SUM(E99:E99)</f>
        <v>0</v>
      </c>
      <c r="F98" s="206">
        <f t="shared" si="8"/>
        <v>0</v>
      </c>
      <c r="G98" s="206">
        <f t="shared" si="8"/>
        <v>0</v>
      </c>
      <c r="H98" s="162">
        <f t="shared" si="8"/>
        <v>-1480599.32</v>
      </c>
    </row>
    <row r="99" spans="1:19">
      <c r="A99" s="116"/>
      <c r="B99" s="113">
        <f>B98</f>
        <v>530050</v>
      </c>
      <c r="C99" s="83" t="s">
        <v>86</v>
      </c>
      <c r="D99" s="65" t="s">
        <v>24</v>
      </c>
      <c r="E99" s="200">
        <v>0</v>
      </c>
      <c r="F99" s="207">
        <v>0</v>
      </c>
      <c r="G99" s="207">
        <v>0</v>
      </c>
      <c r="H99" s="163">
        <v>-1480599.32</v>
      </c>
    </row>
    <row r="100" spans="1:19">
      <c r="A100" s="114">
        <v>14</v>
      </c>
      <c r="B100" s="114">
        <v>530054</v>
      </c>
      <c r="C100" s="50" t="s">
        <v>165</v>
      </c>
      <c r="D100" s="127" t="s">
        <v>26</v>
      </c>
      <c r="E100" s="50">
        <f t="shared" ref="E100:H100" si="9">SUM(E101:E101)</f>
        <v>0</v>
      </c>
      <c r="F100" s="206">
        <f t="shared" si="9"/>
        <v>0</v>
      </c>
      <c r="G100" s="206">
        <f t="shared" si="9"/>
        <v>0</v>
      </c>
      <c r="H100" s="162">
        <f t="shared" si="9"/>
        <v>-328312.36</v>
      </c>
    </row>
    <row r="101" spans="1:19">
      <c r="A101" s="116"/>
      <c r="B101" s="113">
        <f>B100</f>
        <v>530054</v>
      </c>
      <c r="C101" s="83" t="s">
        <v>87</v>
      </c>
      <c r="D101" s="65" t="s">
        <v>21</v>
      </c>
      <c r="E101" s="200">
        <v>0</v>
      </c>
      <c r="F101" s="207">
        <v>0</v>
      </c>
      <c r="G101" s="207">
        <v>0</v>
      </c>
      <c r="H101" s="163">
        <v>-328312.36</v>
      </c>
    </row>
    <row r="102" spans="1:19">
      <c r="A102" s="114">
        <v>15</v>
      </c>
      <c r="B102" s="215">
        <v>530153</v>
      </c>
      <c r="C102" s="50" t="s">
        <v>165</v>
      </c>
      <c r="D102" s="127" t="s">
        <v>201</v>
      </c>
      <c r="E102" s="50">
        <f t="shared" ref="E102:H102" si="10">SUM(E103:E105)</f>
        <v>0</v>
      </c>
      <c r="F102" s="206">
        <f t="shared" si="10"/>
        <v>0</v>
      </c>
      <c r="G102" s="206">
        <f t="shared" si="10"/>
        <v>0</v>
      </c>
      <c r="H102" s="162">
        <f t="shared" si="10"/>
        <v>-472667.6</v>
      </c>
    </row>
    <row r="103" spans="1:19">
      <c r="A103" s="470"/>
      <c r="B103" s="148">
        <f>B102</f>
        <v>530153</v>
      </c>
      <c r="C103" s="83" t="s">
        <v>88</v>
      </c>
      <c r="D103" s="65" t="s">
        <v>89</v>
      </c>
      <c r="E103" s="200">
        <v>0</v>
      </c>
      <c r="F103" s="207">
        <v>0</v>
      </c>
      <c r="G103" s="207">
        <v>0</v>
      </c>
      <c r="H103" s="163">
        <v>-227391.44</v>
      </c>
    </row>
    <row r="104" spans="1:19" ht="37.5">
      <c r="A104" s="471"/>
      <c r="B104" s="148">
        <f>B102</f>
        <v>530153</v>
      </c>
      <c r="C104" s="83" t="s">
        <v>91</v>
      </c>
      <c r="D104" s="65" t="s">
        <v>15</v>
      </c>
      <c r="E104" s="200">
        <v>0</v>
      </c>
      <c r="F104" s="207">
        <v>0</v>
      </c>
      <c r="G104" s="207">
        <v>65</v>
      </c>
      <c r="H104" s="163">
        <v>83036.2</v>
      </c>
    </row>
    <row r="105" spans="1:19">
      <c r="A105" s="472"/>
      <c r="B105" s="148">
        <f>B102</f>
        <v>530153</v>
      </c>
      <c r="C105" s="83" t="s">
        <v>61</v>
      </c>
      <c r="D105" s="65" t="s">
        <v>16</v>
      </c>
      <c r="E105" s="200">
        <v>0</v>
      </c>
      <c r="F105" s="207">
        <v>0</v>
      </c>
      <c r="G105" s="207">
        <v>-65</v>
      </c>
      <c r="H105" s="163">
        <v>-328312.36</v>
      </c>
    </row>
    <row r="106" spans="1:19" s="41" customFormat="1" ht="56.25">
      <c r="A106" s="114">
        <v>16</v>
      </c>
      <c r="B106" s="114">
        <v>530171</v>
      </c>
      <c r="C106" s="50" t="s">
        <v>165</v>
      </c>
      <c r="D106" s="127" t="s">
        <v>192</v>
      </c>
      <c r="E106" s="50">
        <f t="shared" ref="E106:H106" si="11">SUM(E107:E115)</f>
        <v>0</v>
      </c>
      <c r="F106" s="206">
        <f t="shared" si="11"/>
        <v>0</v>
      </c>
      <c r="G106" s="206">
        <f t="shared" si="11"/>
        <v>0</v>
      </c>
      <c r="H106" s="162">
        <f t="shared" si="11"/>
        <v>-3072339.4</v>
      </c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</row>
    <row r="107" spans="1:19">
      <c r="A107" s="470"/>
      <c r="B107" s="148">
        <f>B106</f>
        <v>530171</v>
      </c>
      <c r="C107" s="83" t="s">
        <v>87</v>
      </c>
      <c r="D107" s="65" t="s">
        <v>21</v>
      </c>
      <c r="E107" s="200">
        <v>0</v>
      </c>
      <c r="F107" s="207">
        <v>0</v>
      </c>
      <c r="G107" s="207">
        <v>0</v>
      </c>
      <c r="H107" s="163">
        <f>-44711.8+1277.48</f>
        <v>-43434.32</v>
      </c>
    </row>
    <row r="108" spans="1:19">
      <c r="A108" s="471"/>
      <c r="B108" s="148">
        <f>B106</f>
        <v>530171</v>
      </c>
      <c r="C108" s="83" t="s">
        <v>88</v>
      </c>
      <c r="D108" s="65" t="s">
        <v>89</v>
      </c>
      <c r="E108" s="200">
        <v>0</v>
      </c>
      <c r="F108" s="207">
        <v>0</v>
      </c>
      <c r="G108" s="207">
        <v>0</v>
      </c>
      <c r="H108" s="163">
        <v>-113695.72</v>
      </c>
    </row>
    <row r="109" spans="1:19">
      <c r="A109" s="471"/>
      <c r="B109" s="148">
        <f>B106</f>
        <v>530171</v>
      </c>
      <c r="C109" s="83" t="s">
        <v>54</v>
      </c>
      <c r="D109" s="65" t="s">
        <v>12</v>
      </c>
      <c r="E109" s="200">
        <v>0</v>
      </c>
      <c r="F109" s="207">
        <v>0</v>
      </c>
      <c r="G109" s="207">
        <v>0</v>
      </c>
      <c r="H109" s="163">
        <f>-5109.92+1277.48</f>
        <v>-3832.44</v>
      </c>
    </row>
    <row r="110" spans="1:19" ht="37.5">
      <c r="A110" s="471"/>
      <c r="B110" s="148">
        <f>B106</f>
        <v>530171</v>
      </c>
      <c r="C110" s="83" t="s">
        <v>91</v>
      </c>
      <c r="D110" s="65" t="s">
        <v>15</v>
      </c>
      <c r="E110" s="200">
        <v>0</v>
      </c>
      <c r="F110" s="207">
        <v>0</v>
      </c>
      <c r="G110" s="207">
        <v>0</v>
      </c>
      <c r="H110" s="163">
        <f>-10219.84-1277.48</f>
        <v>-11497.32</v>
      </c>
    </row>
    <row r="111" spans="1:19">
      <c r="A111" s="471"/>
      <c r="B111" s="148">
        <f>B106</f>
        <v>530171</v>
      </c>
      <c r="C111" s="83" t="s">
        <v>58</v>
      </c>
      <c r="D111" s="65" t="s">
        <v>27</v>
      </c>
      <c r="E111" s="200">
        <v>0</v>
      </c>
      <c r="F111" s="207">
        <v>0</v>
      </c>
      <c r="G111" s="207">
        <v>0</v>
      </c>
      <c r="H111" s="163">
        <v>-37046.92</v>
      </c>
    </row>
    <row r="112" spans="1:19">
      <c r="A112" s="471"/>
      <c r="B112" s="148">
        <f>B106</f>
        <v>530171</v>
      </c>
      <c r="C112" s="83" t="s">
        <v>60</v>
      </c>
      <c r="D112" s="65" t="s">
        <v>8</v>
      </c>
      <c r="E112" s="200">
        <v>0</v>
      </c>
      <c r="F112" s="207">
        <v>0</v>
      </c>
      <c r="G112" s="207">
        <v>0</v>
      </c>
      <c r="H112" s="163">
        <v>-7664.88</v>
      </c>
    </row>
    <row r="113" spans="1:8">
      <c r="A113" s="471"/>
      <c r="B113" s="148">
        <f>B106</f>
        <v>530171</v>
      </c>
      <c r="C113" s="83" t="s">
        <v>61</v>
      </c>
      <c r="D113" s="65" t="s">
        <v>16</v>
      </c>
      <c r="E113" s="200">
        <v>0</v>
      </c>
      <c r="F113" s="207">
        <v>0</v>
      </c>
      <c r="G113" s="207">
        <v>0</v>
      </c>
      <c r="H113" s="163">
        <f>-1547028.28-1277.48</f>
        <v>-1548305.76</v>
      </c>
    </row>
    <row r="114" spans="1:8">
      <c r="A114" s="471"/>
      <c r="B114" s="148">
        <f>B106</f>
        <v>530171</v>
      </c>
      <c r="C114" s="83" t="s">
        <v>65</v>
      </c>
      <c r="D114" s="65" t="s">
        <v>32</v>
      </c>
      <c r="E114" s="200">
        <v>0</v>
      </c>
      <c r="F114" s="207">
        <v>0</v>
      </c>
      <c r="G114" s="207">
        <v>0</v>
      </c>
      <c r="H114" s="163">
        <v>-1219993.3999999999</v>
      </c>
    </row>
    <row r="115" spans="1:8" ht="72" customHeight="1">
      <c r="A115" s="472"/>
      <c r="B115" s="148">
        <f>B106</f>
        <v>530171</v>
      </c>
      <c r="C115" s="83" t="s">
        <v>66</v>
      </c>
      <c r="D115" s="65" t="s">
        <v>168</v>
      </c>
      <c r="E115" s="200">
        <v>0</v>
      </c>
      <c r="F115" s="207">
        <v>0</v>
      </c>
      <c r="G115" s="207">
        <v>0</v>
      </c>
      <c r="H115" s="163">
        <v>-86868.64</v>
      </c>
    </row>
    <row r="116" spans="1:8">
      <c r="A116" s="114">
        <v>17</v>
      </c>
      <c r="B116" s="114">
        <v>530188</v>
      </c>
      <c r="C116" s="131" t="s">
        <v>165</v>
      </c>
      <c r="D116" s="127" t="s">
        <v>29</v>
      </c>
      <c r="E116" s="50">
        <f t="shared" ref="E116:H116" si="12">SUM(E117:E126)</f>
        <v>0</v>
      </c>
      <c r="F116" s="206">
        <f t="shared" si="12"/>
        <v>0</v>
      </c>
      <c r="G116" s="206">
        <f t="shared" si="12"/>
        <v>0</v>
      </c>
      <c r="H116" s="162">
        <f t="shared" si="12"/>
        <v>-7782408.1600000001</v>
      </c>
    </row>
    <row r="117" spans="1:8">
      <c r="A117" s="470"/>
      <c r="B117" s="148">
        <f>B116</f>
        <v>530188</v>
      </c>
      <c r="C117" s="83" t="s">
        <v>52</v>
      </c>
      <c r="D117" s="65" t="s">
        <v>6</v>
      </c>
      <c r="E117" s="200">
        <v>0</v>
      </c>
      <c r="F117" s="207">
        <v>0</v>
      </c>
      <c r="G117" s="207">
        <v>0</v>
      </c>
      <c r="H117" s="163">
        <v>-29382.04</v>
      </c>
    </row>
    <row r="118" spans="1:8">
      <c r="A118" s="471"/>
      <c r="B118" s="148">
        <f>B116</f>
        <v>530188</v>
      </c>
      <c r="C118" s="83" t="s">
        <v>88</v>
      </c>
      <c r="D118" s="65" t="s">
        <v>89</v>
      </c>
      <c r="E118" s="200">
        <v>0</v>
      </c>
      <c r="F118" s="207">
        <v>0</v>
      </c>
      <c r="G118" s="207">
        <v>0</v>
      </c>
      <c r="H118" s="163">
        <v>-2162773.64</v>
      </c>
    </row>
    <row r="119" spans="1:8">
      <c r="A119" s="471"/>
      <c r="B119" s="148">
        <f>B116</f>
        <v>530188</v>
      </c>
      <c r="C119" s="83" t="s">
        <v>54</v>
      </c>
      <c r="D119" s="65" t="s">
        <v>12</v>
      </c>
      <c r="E119" s="200">
        <v>0</v>
      </c>
      <c r="F119" s="207">
        <v>0</v>
      </c>
      <c r="G119" s="207">
        <v>0</v>
      </c>
      <c r="H119" s="163">
        <v>-342364.64</v>
      </c>
    </row>
    <row r="120" spans="1:8" ht="37.5">
      <c r="A120" s="471"/>
      <c r="B120" s="148">
        <f>B116</f>
        <v>530188</v>
      </c>
      <c r="C120" s="83" t="s">
        <v>91</v>
      </c>
      <c r="D120" s="65" t="s">
        <v>15</v>
      </c>
      <c r="E120" s="200">
        <v>0</v>
      </c>
      <c r="F120" s="207">
        <v>0</v>
      </c>
      <c r="G120" s="207">
        <v>0</v>
      </c>
      <c r="H120" s="163">
        <v>-456060.36</v>
      </c>
    </row>
    <row r="121" spans="1:8">
      <c r="A121" s="471"/>
      <c r="B121" s="148">
        <f>B116</f>
        <v>530188</v>
      </c>
      <c r="C121" s="83" t="s">
        <v>86</v>
      </c>
      <c r="D121" s="65" t="s">
        <v>24</v>
      </c>
      <c r="E121" s="200">
        <v>0</v>
      </c>
      <c r="F121" s="207">
        <v>0</v>
      </c>
      <c r="G121" s="207">
        <v>0</v>
      </c>
      <c r="H121" s="163">
        <v>-247831.12</v>
      </c>
    </row>
    <row r="122" spans="1:8">
      <c r="A122" s="471"/>
      <c r="B122" s="148">
        <f>B116</f>
        <v>530188</v>
      </c>
      <c r="C122" s="83" t="s">
        <v>58</v>
      </c>
      <c r="D122" s="65" t="s">
        <v>27</v>
      </c>
      <c r="E122" s="200">
        <v>0</v>
      </c>
      <c r="F122" s="207">
        <v>0</v>
      </c>
      <c r="G122" s="207">
        <v>0</v>
      </c>
      <c r="H122" s="163">
        <v>-1392453.2</v>
      </c>
    </row>
    <row r="123" spans="1:8">
      <c r="A123" s="471"/>
      <c r="B123" s="148">
        <f>B116</f>
        <v>530188</v>
      </c>
      <c r="C123" s="83" t="s">
        <v>61</v>
      </c>
      <c r="D123" s="65" t="s">
        <v>16</v>
      </c>
      <c r="E123" s="200">
        <v>0</v>
      </c>
      <c r="F123" s="207">
        <v>0</v>
      </c>
      <c r="G123" s="207">
        <v>-31</v>
      </c>
      <c r="H123" s="163">
        <v>-2874330</v>
      </c>
    </row>
    <row r="124" spans="1:8">
      <c r="A124" s="471"/>
      <c r="B124" s="148">
        <f>B116</f>
        <v>530188</v>
      </c>
      <c r="C124" s="83" t="s">
        <v>64</v>
      </c>
      <c r="D124" s="65" t="s">
        <v>17</v>
      </c>
      <c r="E124" s="200">
        <v>0</v>
      </c>
      <c r="F124" s="207">
        <v>0</v>
      </c>
      <c r="G124" s="207">
        <v>0</v>
      </c>
      <c r="H124" s="163">
        <v>-11497.32</v>
      </c>
    </row>
    <row r="125" spans="1:8">
      <c r="A125" s="471"/>
      <c r="B125" s="148">
        <f>B116</f>
        <v>530188</v>
      </c>
      <c r="C125" s="83" t="s">
        <v>65</v>
      </c>
      <c r="D125" s="65" t="s">
        <v>32</v>
      </c>
      <c r="E125" s="200">
        <v>0</v>
      </c>
      <c r="F125" s="207">
        <v>0</v>
      </c>
      <c r="G125" s="207">
        <v>31</v>
      </c>
      <c r="H125" s="163">
        <v>39601.879999999997</v>
      </c>
    </row>
    <row r="126" spans="1:8">
      <c r="A126" s="472"/>
      <c r="B126" s="148">
        <f>B116</f>
        <v>530188</v>
      </c>
      <c r="C126" s="83" t="s">
        <v>66</v>
      </c>
      <c r="D126" s="65" t="s">
        <v>18</v>
      </c>
      <c r="E126" s="200">
        <v>0</v>
      </c>
      <c r="F126" s="207">
        <v>0</v>
      </c>
      <c r="G126" s="207">
        <v>0</v>
      </c>
      <c r="H126" s="163">
        <v>-305317.72000000003</v>
      </c>
    </row>
    <row r="127" spans="1:8">
      <c r="A127" s="114">
        <v>18</v>
      </c>
      <c r="B127" s="114">
        <v>530225</v>
      </c>
      <c r="C127" s="131" t="s">
        <v>165</v>
      </c>
      <c r="D127" s="127" t="s">
        <v>193</v>
      </c>
      <c r="E127" s="50">
        <f>SUM(E128:E134)</f>
        <v>0</v>
      </c>
      <c r="F127" s="206">
        <f>SUM(F128:F134)</f>
        <v>0</v>
      </c>
      <c r="G127" s="206">
        <f>SUM(G128:G134)</f>
        <v>0</v>
      </c>
      <c r="H127" s="162">
        <f>SUM(H128:H134)</f>
        <v>-2439986.7999999998</v>
      </c>
    </row>
    <row r="128" spans="1:8">
      <c r="A128" s="470"/>
      <c r="B128" s="148">
        <f>B127</f>
        <v>530225</v>
      </c>
      <c r="C128" s="83" t="s">
        <v>52</v>
      </c>
      <c r="D128" s="65" t="s">
        <v>6</v>
      </c>
      <c r="E128" s="200">
        <v>0</v>
      </c>
      <c r="F128" s="207">
        <v>0</v>
      </c>
      <c r="G128" s="207">
        <v>0</v>
      </c>
      <c r="H128" s="163">
        <v>-83036.2</v>
      </c>
    </row>
    <row r="129" spans="1:8">
      <c r="A129" s="471"/>
      <c r="B129" s="148">
        <f>B127</f>
        <v>530225</v>
      </c>
      <c r="C129" s="83" t="s">
        <v>88</v>
      </c>
      <c r="D129" s="65" t="s">
        <v>89</v>
      </c>
      <c r="E129" s="200">
        <v>0</v>
      </c>
      <c r="F129" s="207">
        <v>0</v>
      </c>
      <c r="G129" s="207">
        <v>-362</v>
      </c>
      <c r="H129" s="163">
        <v>-1425667.68</v>
      </c>
    </row>
    <row r="130" spans="1:8">
      <c r="A130" s="471"/>
      <c r="B130" s="148">
        <f>B127</f>
        <v>530225</v>
      </c>
      <c r="C130" s="83" t="s">
        <v>54</v>
      </c>
      <c r="D130" s="65" t="s">
        <v>12</v>
      </c>
      <c r="E130" s="200">
        <v>0</v>
      </c>
      <c r="F130" s="207">
        <v>0</v>
      </c>
      <c r="G130" s="207">
        <v>0</v>
      </c>
      <c r="H130" s="163">
        <v>-196731.92</v>
      </c>
    </row>
    <row r="131" spans="1:8" ht="37.5">
      <c r="A131" s="471"/>
      <c r="B131" s="148">
        <f>B127</f>
        <v>530225</v>
      </c>
      <c r="C131" s="83" t="s">
        <v>91</v>
      </c>
      <c r="D131" s="65" t="s">
        <v>15</v>
      </c>
      <c r="E131" s="200">
        <v>0</v>
      </c>
      <c r="F131" s="207">
        <v>0</v>
      </c>
      <c r="G131" s="207">
        <v>146</v>
      </c>
      <c r="H131" s="163">
        <v>186512.08000000002</v>
      </c>
    </row>
    <row r="132" spans="1:8">
      <c r="A132" s="471"/>
      <c r="B132" s="148">
        <f>B127</f>
        <v>530225</v>
      </c>
      <c r="C132" s="83" t="s">
        <v>61</v>
      </c>
      <c r="D132" s="65" t="s">
        <v>16</v>
      </c>
      <c r="E132" s="200">
        <v>0</v>
      </c>
      <c r="F132" s="207">
        <v>0</v>
      </c>
      <c r="G132" s="207">
        <v>0</v>
      </c>
      <c r="H132" s="163">
        <v>-1196998.76</v>
      </c>
    </row>
    <row r="133" spans="1:8">
      <c r="A133" s="471"/>
      <c r="B133" s="148">
        <f>B127</f>
        <v>530225</v>
      </c>
      <c r="C133" s="83" t="s">
        <v>65</v>
      </c>
      <c r="D133" s="65" t="s">
        <v>32</v>
      </c>
      <c r="E133" s="200">
        <v>0</v>
      </c>
      <c r="F133" s="207">
        <v>0</v>
      </c>
      <c r="G133" s="207">
        <v>206</v>
      </c>
      <c r="H133" s="163">
        <v>263160.88</v>
      </c>
    </row>
    <row r="134" spans="1:8">
      <c r="A134" s="472"/>
      <c r="B134" s="148">
        <f>B127</f>
        <v>530225</v>
      </c>
      <c r="C134" s="83" t="s">
        <v>66</v>
      </c>
      <c r="D134" s="65" t="s">
        <v>18</v>
      </c>
      <c r="E134" s="200">
        <v>0</v>
      </c>
      <c r="F134" s="207">
        <v>0</v>
      </c>
      <c r="G134" s="207">
        <v>10</v>
      </c>
      <c r="H134" s="163">
        <v>12774.8</v>
      </c>
    </row>
    <row r="135" spans="1:8" ht="37.5">
      <c r="A135" s="114">
        <v>19</v>
      </c>
      <c r="B135" s="114">
        <v>530226</v>
      </c>
      <c r="C135" s="131" t="s">
        <v>165</v>
      </c>
      <c r="D135" s="127" t="s">
        <v>31</v>
      </c>
      <c r="E135" s="50">
        <f t="shared" ref="E135:H135" si="13">SUM(E136:E143)</f>
        <v>0</v>
      </c>
      <c r="F135" s="206">
        <f t="shared" si="13"/>
        <v>0</v>
      </c>
      <c r="G135" s="206">
        <f t="shared" si="13"/>
        <v>0</v>
      </c>
      <c r="H135" s="162">
        <f t="shared" si="13"/>
        <v>-1526588.6</v>
      </c>
    </row>
    <row r="136" spans="1:8">
      <c r="A136" s="470"/>
      <c r="B136" s="148">
        <f>B135</f>
        <v>530226</v>
      </c>
      <c r="C136" s="83" t="s">
        <v>52</v>
      </c>
      <c r="D136" s="65" t="s">
        <v>6</v>
      </c>
      <c r="E136" s="200">
        <v>0</v>
      </c>
      <c r="F136" s="207">
        <v>0</v>
      </c>
      <c r="G136" s="207">
        <v>0</v>
      </c>
      <c r="H136" s="163">
        <v>-376856.6</v>
      </c>
    </row>
    <row r="137" spans="1:8">
      <c r="A137" s="471"/>
      <c r="B137" s="148">
        <f>B135</f>
        <v>530226</v>
      </c>
      <c r="C137" s="83" t="s">
        <v>88</v>
      </c>
      <c r="D137" s="65" t="s">
        <v>89</v>
      </c>
      <c r="E137" s="200">
        <v>0</v>
      </c>
      <c r="F137" s="207">
        <v>0</v>
      </c>
      <c r="G137" s="207">
        <v>0</v>
      </c>
      <c r="H137" s="163">
        <v>-25549.599999999999</v>
      </c>
    </row>
    <row r="138" spans="1:8">
      <c r="A138" s="471"/>
      <c r="B138" s="148">
        <f>B135</f>
        <v>530226</v>
      </c>
      <c r="C138" s="83" t="s">
        <v>54</v>
      </c>
      <c r="D138" s="65" t="s">
        <v>12</v>
      </c>
      <c r="E138" s="51">
        <v>-400</v>
      </c>
      <c r="F138" s="208">
        <v>-510992</v>
      </c>
      <c r="G138" s="208">
        <v>-400</v>
      </c>
      <c r="H138" s="130">
        <f>-654069.76-1277.48</f>
        <v>-655347.24</v>
      </c>
    </row>
    <row r="139" spans="1:8" ht="37.5">
      <c r="A139" s="471"/>
      <c r="B139" s="148">
        <f>B135</f>
        <v>530226</v>
      </c>
      <c r="C139" s="83" t="s">
        <v>91</v>
      </c>
      <c r="D139" s="65" t="s">
        <v>15</v>
      </c>
      <c r="E139" s="200">
        <v>0</v>
      </c>
      <c r="F139" s="207">
        <v>0</v>
      </c>
      <c r="G139" s="207">
        <v>0</v>
      </c>
      <c r="H139" s="163">
        <v>-686006.76</v>
      </c>
    </row>
    <row r="140" spans="1:8">
      <c r="A140" s="471"/>
      <c r="B140" s="148">
        <f>B135</f>
        <v>530226</v>
      </c>
      <c r="C140" s="83" t="s">
        <v>61</v>
      </c>
      <c r="D140" s="65" t="s">
        <v>16</v>
      </c>
      <c r="E140" s="200">
        <v>400</v>
      </c>
      <c r="F140" s="207">
        <v>510992</v>
      </c>
      <c r="G140" s="207">
        <v>400</v>
      </c>
      <c r="H140" s="163">
        <v>510992</v>
      </c>
    </row>
    <row r="141" spans="1:8">
      <c r="A141" s="471"/>
      <c r="B141" s="148">
        <f>B135</f>
        <v>530226</v>
      </c>
      <c r="C141" s="83" t="s">
        <v>64</v>
      </c>
      <c r="D141" s="65" t="s">
        <v>17</v>
      </c>
      <c r="E141" s="200">
        <v>0</v>
      </c>
      <c r="F141" s="207">
        <v>0</v>
      </c>
      <c r="G141" s="207">
        <v>0</v>
      </c>
      <c r="H141" s="163">
        <f>-11497.32+1277.48</f>
        <v>-10219.84</v>
      </c>
    </row>
    <row r="142" spans="1:8">
      <c r="A142" s="471"/>
      <c r="B142" s="148">
        <f>B135</f>
        <v>530226</v>
      </c>
      <c r="C142" s="83" t="s">
        <v>65</v>
      </c>
      <c r="D142" s="65" t="s">
        <v>32</v>
      </c>
      <c r="E142" s="200">
        <v>0</v>
      </c>
      <c r="F142" s="207">
        <v>0</v>
      </c>
      <c r="G142" s="207">
        <v>0</v>
      </c>
      <c r="H142" s="163">
        <v>-209506.72</v>
      </c>
    </row>
    <row r="143" spans="1:8">
      <c r="A143" s="472"/>
      <c r="B143" s="148">
        <f>B135</f>
        <v>530226</v>
      </c>
      <c r="C143" s="83" t="s">
        <v>66</v>
      </c>
      <c r="D143" s="65" t="s">
        <v>18</v>
      </c>
      <c r="E143" s="200">
        <v>0</v>
      </c>
      <c r="F143" s="207">
        <v>0</v>
      </c>
      <c r="G143" s="207">
        <v>0</v>
      </c>
      <c r="H143" s="163">
        <v>-74093.84</v>
      </c>
    </row>
    <row r="144" spans="1:8">
      <c r="A144" s="114">
        <v>20</v>
      </c>
      <c r="B144" s="114">
        <v>530227</v>
      </c>
      <c r="C144" s="131" t="s">
        <v>165</v>
      </c>
      <c r="D144" s="127" t="s">
        <v>200</v>
      </c>
      <c r="E144" s="50">
        <f>SUM(E145:E157)</f>
        <v>0</v>
      </c>
      <c r="F144" s="206">
        <f>SUM(F145:F157)</f>
        <v>0</v>
      </c>
      <c r="G144" s="206">
        <f>SUM(G145:G157)</f>
        <v>0</v>
      </c>
      <c r="H144" s="162">
        <f>SUM(H145:H157)</f>
        <v>-2157663.7200000002</v>
      </c>
    </row>
    <row r="145" spans="1:8">
      <c r="A145" s="470"/>
      <c r="B145" s="148">
        <f>B144</f>
        <v>530227</v>
      </c>
      <c r="C145" s="83">
        <v>3</v>
      </c>
      <c r="D145" s="65" t="s">
        <v>77</v>
      </c>
      <c r="E145" s="200">
        <v>0</v>
      </c>
      <c r="F145" s="207">
        <v>0</v>
      </c>
      <c r="G145" s="207">
        <v>0</v>
      </c>
      <c r="H145" s="163">
        <v>-14052.28</v>
      </c>
    </row>
    <row r="146" spans="1:8">
      <c r="A146" s="471"/>
      <c r="B146" s="148">
        <f>B144</f>
        <v>530227</v>
      </c>
      <c r="C146" s="83" t="s">
        <v>51</v>
      </c>
      <c r="D146" s="65" t="s">
        <v>154</v>
      </c>
      <c r="E146" s="200">
        <v>0</v>
      </c>
      <c r="F146" s="207">
        <v>0</v>
      </c>
      <c r="G146" s="207">
        <v>0</v>
      </c>
      <c r="H146" s="163">
        <f>-44711.8+1277.48</f>
        <v>-43434.32</v>
      </c>
    </row>
    <row r="147" spans="1:8">
      <c r="A147" s="471"/>
      <c r="B147" s="148">
        <f>B144</f>
        <v>530227</v>
      </c>
      <c r="C147" s="83" t="s">
        <v>87</v>
      </c>
      <c r="D147" s="65" t="s">
        <v>21</v>
      </c>
      <c r="E147" s="200">
        <v>0</v>
      </c>
      <c r="F147" s="207">
        <v>0</v>
      </c>
      <c r="G147" s="207">
        <v>0</v>
      </c>
      <c r="H147" s="163">
        <v>-19162.2</v>
      </c>
    </row>
    <row r="148" spans="1:8">
      <c r="A148" s="471"/>
      <c r="B148" s="148">
        <f>B144</f>
        <v>530227</v>
      </c>
      <c r="C148" s="83" t="s">
        <v>52</v>
      </c>
      <c r="D148" s="65" t="s">
        <v>6</v>
      </c>
      <c r="E148" s="200">
        <v>0</v>
      </c>
      <c r="F148" s="207">
        <v>0</v>
      </c>
      <c r="G148" s="207">
        <v>0</v>
      </c>
      <c r="H148" s="163">
        <v>-226113.96</v>
      </c>
    </row>
    <row r="149" spans="1:8">
      <c r="A149" s="471"/>
      <c r="B149" s="148">
        <f>B144</f>
        <v>530227</v>
      </c>
      <c r="C149" s="83" t="s">
        <v>88</v>
      </c>
      <c r="D149" s="65" t="s">
        <v>89</v>
      </c>
      <c r="E149" s="200">
        <v>0</v>
      </c>
      <c r="F149" s="207">
        <v>0</v>
      </c>
      <c r="G149" s="207">
        <v>0</v>
      </c>
      <c r="H149" s="163">
        <v>-669399.52</v>
      </c>
    </row>
    <row r="150" spans="1:8">
      <c r="A150" s="471"/>
      <c r="B150" s="148">
        <f>B144</f>
        <v>530227</v>
      </c>
      <c r="C150" s="83" t="s">
        <v>56</v>
      </c>
      <c r="D150" s="65" t="s">
        <v>57</v>
      </c>
      <c r="E150" s="200">
        <v>0</v>
      </c>
      <c r="F150" s="207">
        <v>0</v>
      </c>
      <c r="G150" s="207">
        <v>0</v>
      </c>
      <c r="H150" s="163">
        <v>-44711.8</v>
      </c>
    </row>
    <row r="151" spans="1:8">
      <c r="A151" s="471"/>
      <c r="B151" s="148">
        <f>B144</f>
        <v>530227</v>
      </c>
      <c r="C151" s="83" t="s">
        <v>86</v>
      </c>
      <c r="D151" s="65" t="s">
        <v>24</v>
      </c>
      <c r="E151" s="200">
        <v>0</v>
      </c>
      <c r="F151" s="207">
        <v>0</v>
      </c>
      <c r="G151" s="207">
        <v>0</v>
      </c>
      <c r="H151" s="163">
        <v>-137967.84</v>
      </c>
    </row>
    <row r="152" spans="1:8">
      <c r="A152" s="471"/>
      <c r="B152" s="148">
        <f>B144</f>
        <v>530227</v>
      </c>
      <c r="C152" s="83" t="s">
        <v>58</v>
      </c>
      <c r="D152" s="65" t="s">
        <v>27</v>
      </c>
      <c r="E152" s="200">
        <v>0</v>
      </c>
      <c r="F152" s="207">
        <v>0</v>
      </c>
      <c r="G152" s="207">
        <v>0</v>
      </c>
      <c r="H152" s="163">
        <f>-260605.92-1277.48</f>
        <v>-261883.40000000002</v>
      </c>
    </row>
    <row r="153" spans="1:8">
      <c r="A153" s="471"/>
      <c r="B153" s="148">
        <f>B144</f>
        <v>530227</v>
      </c>
      <c r="C153" s="83" t="s">
        <v>61</v>
      </c>
      <c r="D153" s="65" t="s">
        <v>16</v>
      </c>
      <c r="E153" s="200">
        <v>0</v>
      </c>
      <c r="F153" s="207">
        <v>0</v>
      </c>
      <c r="G153" s="207">
        <v>0</v>
      </c>
      <c r="H153" s="163">
        <v>-192899.48</v>
      </c>
    </row>
    <row r="154" spans="1:8">
      <c r="A154" s="471"/>
      <c r="B154" s="148">
        <f>B144</f>
        <v>530227</v>
      </c>
      <c r="C154" s="83" t="s">
        <v>64</v>
      </c>
      <c r="D154" s="65" t="s">
        <v>17</v>
      </c>
      <c r="E154" s="200">
        <v>0</v>
      </c>
      <c r="F154" s="207">
        <v>0</v>
      </c>
      <c r="G154" s="207">
        <v>0</v>
      </c>
      <c r="H154" s="163">
        <v>-25549.599999999999</v>
      </c>
    </row>
    <row r="155" spans="1:8">
      <c r="A155" s="471"/>
      <c r="B155" s="148">
        <f>B144</f>
        <v>530227</v>
      </c>
      <c r="C155" s="83" t="s">
        <v>65</v>
      </c>
      <c r="D155" s="65" t="s">
        <v>32</v>
      </c>
      <c r="E155" s="200">
        <v>0</v>
      </c>
      <c r="F155" s="207">
        <v>0</v>
      </c>
      <c r="G155" s="207">
        <v>0</v>
      </c>
      <c r="H155" s="163">
        <v>-491829.8</v>
      </c>
    </row>
    <row r="156" spans="1:8">
      <c r="A156" s="471"/>
      <c r="B156" s="148">
        <f>B144</f>
        <v>530227</v>
      </c>
      <c r="C156" s="83" t="s">
        <v>66</v>
      </c>
      <c r="D156" s="65" t="s">
        <v>18</v>
      </c>
      <c r="E156" s="200">
        <v>0</v>
      </c>
      <c r="F156" s="207">
        <v>0</v>
      </c>
      <c r="G156" s="207">
        <v>0</v>
      </c>
      <c r="H156" s="163">
        <v>-22994.639999999999</v>
      </c>
    </row>
    <row r="157" spans="1:8">
      <c r="A157" s="472"/>
      <c r="B157" s="148">
        <f>B144</f>
        <v>530227</v>
      </c>
      <c r="C157" s="83" t="s">
        <v>67</v>
      </c>
      <c r="D157" s="65" t="s">
        <v>19</v>
      </c>
      <c r="E157" s="200">
        <v>0</v>
      </c>
      <c r="F157" s="207">
        <v>0</v>
      </c>
      <c r="G157" s="207">
        <v>0</v>
      </c>
      <c r="H157" s="163">
        <v>-7664.88</v>
      </c>
    </row>
    <row r="158" spans="1:8">
      <c r="A158" s="114">
        <v>21</v>
      </c>
      <c r="B158" s="114">
        <v>530228</v>
      </c>
      <c r="C158" s="131" t="s">
        <v>165</v>
      </c>
      <c r="D158" s="127" t="s">
        <v>194</v>
      </c>
      <c r="E158" s="50">
        <f t="shared" ref="E158:H158" si="14">SUM(E159:E165)</f>
        <v>0</v>
      </c>
      <c r="F158" s="206">
        <f t="shared" si="14"/>
        <v>0</v>
      </c>
      <c r="G158" s="206">
        <f t="shared" si="14"/>
        <v>0</v>
      </c>
      <c r="H158" s="162">
        <f t="shared" si="14"/>
        <v>-694949.12</v>
      </c>
    </row>
    <row r="159" spans="1:8">
      <c r="A159" s="470"/>
      <c r="B159" s="148">
        <f>B158</f>
        <v>530228</v>
      </c>
      <c r="C159" s="146">
        <v>42</v>
      </c>
      <c r="D159" s="65" t="s">
        <v>89</v>
      </c>
      <c r="E159" s="200">
        <v>0</v>
      </c>
      <c r="F159" s="207">
        <v>0</v>
      </c>
      <c r="G159" s="207">
        <v>0</v>
      </c>
      <c r="H159" s="163">
        <v>-168627.36000000002</v>
      </c>
    </row>
    <row r="160" spans="1:8">
      <c r="A160" s="471"/>
      <c r="B160" s="148">
        <f>B158</f>
        <v>530228</v>
      </c>
      <c r="C160" s="146">
        <v>53</v>
      </c>
      <c r="D160" s="65" t="s">
        <v>12</v>
      </c>
      <c r="E160" s="200">
        <v>0</v>
      </c>
      <c r="F160" s="207">
        <v>0</v>
      </c>
      <c r="G160" s="207">
        <v>0</v>
      </c>
      <c r="H160" s="163">
        <v>-8942.36</v>
      </c>
    </row>
    <row r="161" spans="1:8" ht="37.5">
      <c r="A161" s="471"/>
      <c r="B161" s="148">
        <f>B158</f>
        <v>530228</v>
      </c>
      <c r="C161" s="146">
        <v>57</v>
      </c>
      <c r="D161" s="65" t="s">
        <v>15</v>
      </c>
      <c r="E161" s="200">
        <v>0</v>
      </c>
      <c r="F161" s="207">
        <v>0</v>
      </c>
      <c r="G161" s="207">
        <v>0</v>
      </c>
      <c r="H161" s="163">
        <v>-49821.72</v>
      </c>
    </row>
    <row r="162" spans="1:8">
      <c r="A162" s="471"/>
      <c r="B162" s="148">
        <f>B158</f>
        <v>530228</v>
      </c>
      <c r="C162" s="146">
        <v>60</v>
      </c>
      <c r="D162" s="65" t="s">
        <v>24</v>
      </c>
      <c r="E162" s="200">
        <v>0</v>
      </c>
      <c r="F162" s="207">
        <v>0</v>
      </c>
      <c r="G162" s="207">
        <v>0</v>
      </c>
      <c r="H162" s="163">
        <v>-16607.240000000002</v>
      </c>
    </row>
    <row r="163" spans="1:8">
      <c r="A163" s="471"/>
      <c r="B163" s="148">
        <f>B158</f>
        <v>530228</v>
      </c>
      <c r="C163" s="146">
        <v>97</v>
      </c>
      <c r="D163" s="65" t="s">
        <v>16</v>
      </c>
      <c r="E163" s="200">
        <v>0</v>
      </c>
      <c r="F163" s="207">
        <v>0</v>
      </c>
      <c r="G163" s="207">
        <v>0</v>
      </c>
      <c r="H163" s="163">
        <v>-436898.16000000003</v>
      </c>
    </row>
    <row r="164" spans="1:8">
      <c r="A164" s="471"/>
      <c r="B164" s="148">
        <f>B158</f>
        <v>530228</v>
      </c>
      <c r="C164" s="146">
        <v>112</v>
      </c>
      <c r="D164" s="65" t="s">
        <v>17</v>
      </c>
      <c r="E164" s="200">
        <v>0</v>
      </c>
      <c r="F164" s="207">
        <v>0</v>
      </c>
      <c r="G164" s="207">
        <v>0</v>
      </c>
      <c r="H164" s="163">
        <v>-2554.96</v>
      </c>
    </row>
    <row r="165" spans="1:8">
      <c r="A165" s="472"/>
      <c r="B165" s="148">
        <f>B158</f>
        <v>530228</v>
      </c>
      <c r="C165" s="146">
        <v>136</v>
      </c>
      <c r="D165" s="65" t="s">
        <v>18</v>
      </c>
      <c r="E165" s="200">
        <v>0</v>
      </c>
      <c r="F165" s="207">
        <v>0</v>
      </c>
      <c r="G165" s="207">
        <v>0</v>
      </c>
      <c r="H165" s="163">
        <v>-11497.32</v>
      </c>
    </row>
    <row r="166" spans="1:8">
      <c r="A166" s="464" t="s">
        <v>34</v>
      </c>
      <c r="B166" s="464"/>
      <c r="C166" s="464"/>
      <c r="D166" s="464"/>
      <c r="E166" s="50">
        <f>SUMIFS(E12:E165,$C12:$C165," ")</f>
        <v>0</v>
      </c>
      <c r="F166" s="206">
        <v>0</v>
      </c>
      <c r="G166" s="206">
        <f>SUMIFS(G12:G165,$C12:$C165," ")</f>
        <v>0</v>
      </c>
      <c r="H166" s="162">
        <f>H12+H31+H39+H42+H49+H56+H58+H67+H74+H79+H86+H94+H98+H100+H102+H106+H116+H127+H135+H144+H158</f>
        <v>-63000000</v>
      </c>
    </row>
  </sheetData>
  <mergeCells count="27">
    <mergeCell ref="B5:F5"/>
    <mergeCell ref="A9:A10"/>
    <mergeCell ref="B9:B10"/>
    <mergeCell ref="C9:C10"/>
    <mergeCell ref="D9:D10"/>
    <mergeCell ref="E9:F9"/>
    <mergeCell ref="A7:H7"/>
    <mergeCell ref="G9:H9"/>
    <mergeCell ref="A59:A66"/>
    <mergeCell ref="A68:A73"/>
    <mergeCell ref="A75:A78"/>
    <mergeCell ref="A80:A85"/>
    <mergeCell ref="A166:D166"/>
    <mergeCell ref="A87:A93"/>
    <mergeCell ref="A95:A97"/>
    <mergeCell ref="A103:A105"/>
    <mergeCell ref="A107:A115"/>
    <mergeCell ref="A117:A126"/>
    <mergeCell ref="A128:A134"/>
    <mergeCell ref="A136:A143"/>
    <mergeCell ref="A145:A157"/>
    <mergeCell ref="A159:A165"/>
    <mergeCell ref="A13:A30"/>
    <mergeCell ref="A32:A38"/>
    <mergeCell ref="A40:A41"/>
    <mergeCell ref="A43:A48"/>
    <mergeCell ref="A50:A55"/>
  </mergeCells>
  <pageMargins left="0.78740157480314965" right="0.39370078740157483" top="0.39370078740157483" bottom="0.39370078740157483" header="0.31496062992125984" footer="0.31496062992125984"/>
  <pageSetup paperSize="9"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  <pageSetUpPr fitToPage="1"/>
  </sheetPr>
  <dimension ref="A1:L67"/>
  <sheetViews>
    <sheetView zoomScale="80" zoomScaleNormal="80" workbookViewId="0">
      <pane xSplit="3" ySplit="8" topLeftCell="D25" activePane="bottomRight" state="frozen"/>
      <selection activeCell="J45" sqref="J45"/>
      <selection pane="topRight" activeCell="J45" sqref="J45"/>
      <selection pane="bottomLeft" activeCell="J45" sqref="J45"/>
      <selection pane="bottomRight" activeCell="K42" sqref="K42"/>
    </sheetView>
  </sheetViews>
  <sheetFormatPr defaultColWidth="10.28515625" defaultRowHeight="18.75"/>
  <cols>
    <col min="1" max="2" width="10.28515625" style="178"/>
    <col min="3" max="3" width="38" style="52" customWidth="1"/>
    <col min="4" max="4" width="11" style="52" customWidth="1"/>
    <col min="5" max="5" width="12.140625" style="58" customWidth="1"/>
    <col min="6" max="6" width="13.5703125" style="58" customWidth="1"/>
    <col min="7" max="7" width="17.5703125" style="262" customWidth="1"/>
    <col min="8" max="8" width="12.5703125" style="58" customWidth="1"/>
    <col min="9" max="9" width="13" style="58" customWidth="1"/>
    <col min="10" max="10" width="12.5703125" style="58" customWidth="1"/>
    <col min="11" max="11" width="21.85546875" style="58" customWidth="1"/>
    <col min="12" max="12" width="21.85546875" style="57" customWidth="1"/>
    <col min="13" max="16384" width="10.28515625" style="52"/>
  </cols>
  <sheetData>
    <row r="1" spans="1:12">
      <c r="G1" s="254"/>
      <c r="H1" s="120"/>
      <c r="I1" s="32"/>
      <c r="J1" s="32"/>
      <c r="K1" s="125" t="s">
        <v>218</v>
      </c>
      <c r="L1" s="125"/>
    </row>
    <row r="2" spans="1:12">
      <c r="I2" s="32"/>
      <c r="J2" s="32"/>
      <c r="K2" s="31" t="s">
        <v>157</v>
      </c>
      <c r="L2" s="31"/>
    </row>
    <row r="3" spans="1:12">
      <c r="G3" s="254"/>
      <c r="H3" s="120"/>
      <c r="I3" s="32"/>
      <c r="J3" s="32"/>
      <c r="K3" s="125" t="s">
        <v>239</v>
      </c>
      <c r="L3" s="125"/>
    </row>
    <row r="5" spans="1:12" ht="38.25" hidden="1" customHeight="1">
      <c r="A5" s="486" t="s">
        <v>144</v>
      </c>
      <c r="B5" s="486"/>
      <c r="C5" s="486"/>
      <c r="D5" s="486"/>
      <c r="E5" s="486"/>
      <c r="F5" s="486"/>
      <c r="G5" s="486"/>
      <c r="H5" s="486"/>
      <c r="I5" s="486"/>
      <c r="J5" s="486"/>
      <c r="K5" s="486"/>
      <c r="L5" s="486"/>
    </row>
    <row r="6" spans="1:12" ht="15" hidden="1" customHeight="1">
      <c r="A6" s="177"/>
      <c r="B6" s="177"/>
      <c r="C6" s="177"/>
      <c r="D6" s="177"/>
      <c r="E6" s="177"/>
      <c r="F6" s="177"/>
      <c r="G6" s="263"/>
      <c r="H6" s="177"/>
      <c r="I6" s="177"/>
      <c r="J6" s="177"/>
      <c r="K6" s="177"/>
      <c r="L6" s="177"/>
    </row>
    <row r="7" spans="1:12" ht="19.5" customHeight="1">
      <c r="A7" s="487" t="s">
        <v>224</v>
      </c>
      <c r="B7" s="487"/>
      <c r="C7" s="487"/>
      <c r="D7" s="487"/>
      <c r="E7" s="487"/>
      <c r="F7" s="487"/>
      <c r="G7" s="487"/>
      <c r="H7" s="487"/>
      <c r="I7" s="487"/>
      <c r="J7" s="487"/>
      <c r="K7" s="487"/>
      <c r="L7" s="187"/>
    </row>
    <row r="8" spans="1:12">
      <c r="A8" s="59"/>
      <c r="B8" s="59"/>
      <c r="C8" s="59"/>
      <c r="D8" s="59"/>
      <c r="E8" s="60"/>
      <c r="F8" s="60"/>
      <c r="G8" s="264"/>
      <c r="H8" s="60"/>
      <c r="I8" s="60"/>
      <c r="J8" s="60"/>
      <c r="K8" s="60"/>
      <c r="L8" s="59"/>
    </row>
    <row r="9" spans="1:12">
      <c r="A9" s="59"/>
      <c r="B9" s="59"/>
      <c r="C9" s="59"/>
      <c r="D9" s="59"/>
      <c r="E9" s="60"/>
      <c r="F9" s="60"/>
      <c r="G9" s="264"/>
      <c r="H9" s="60"/>
      <c r="I9" s="60"/>
      <c r="J9" s="60"/>
      <c r="K9" s="292"/>
      <c r="L9" s="59"/>
    </row>
    <row r="10" spans="1:12" ht="39.75" customHeight="1">
      <c r="A10" s="488" t="s">
        <v>35</v>
      </c>
      <c r="B10" s="488" t="s">
        <v>1</v>
      </c>
      <c r="C10" s="488" t="s">
        <v>135</v>
      </c>
      <c r="D10" s="460" t="s">
        <v>163</v>
      </c>
      <c r="E10" s="489"/>
      <c r="F10" s="489"/>
      <c r="G10" s="461"/>
      <c r="H10" s="490" t="s">
        <v>164</v>
      </c>
      <c r="I10" s="490"/>
      <c r="J10" s="490"/>
      <c r="K10" s="490"/>
      <c r="L10" s="59"/>
    </row>
    <row r="11" spans="1:12" ht="18.75" customHeight="1">
      <c r="A11" s="488"/>
      <c r="B11" s="488"/>
      <c r="C11" s="488"/>
      <c r="D11" s="482" t="s">
        <v>225</v>
      </c>
      <c r="E11" s="484" t="s">
        <v>226</v>
      </c>
      <c r="F11" s="485"/>
      <c r="G11" s="491" t="s">
        <v>37</v>
      </c>
      <c r="H11" s="482" t="s">
        <v>225</v>
      </c>
      <c r="I11" s="484" t="s">
        <v>226</v>
      </c>
      <c r="J11" s="485"/>
      <c r="K11" s="482" t="s">
        <v>37</v>
      </c>
    </row>
    <row r="12" spans="1:12" ht="37.5" customHeight="1">
      <c r="A12" s="488"/>
      <c r="B12" s="488"/>
      <c r="C12" s="488"/>
      <c r="D12" s="483"/>
      <c r="E12" s="233" t="s">
        <v>227</v>
      </c>
      <c r="F12" s="234" t="s">
        <v>228</v>
      </c>
      <c r="G12" s="492"/>
      <c r="H12" s="483"/>
      <c r="I12" s="233" t="s">
        <v>227</v>
      </c>
      <c r="J12" s="234" t="s">
        <v>228</v>
      </c>
      <c r="K12" s="483"/>
    </row>
    <row r="13" spans="1:12">
      <c r="A13" s="238" t="s">
        <v>137</v>
      </c>
      <c r="B13" s="186" t="s">
        <v>138</v>
      </c>
      <c r="C13" s="186" t="s">
        <v>92</v>
      </c>
      <c r="D13" s="182">
        <v>4</v>
      </c>
      <c r="E13" s="180">
        <v>5</v>
      </c>
      <c r="F13" s="180">
        <v>6</v>
      </c>
      <c r="G13" s="180">
        <v>7</v>
      </c>
      <c r="H13" s="180">
        <v>8</v>
      </c>
      <c r="I13" s="180">
        <v>9</v>
      </c>
      <c r="J13" s="180">
        <v>10</v>
      </c>
      <c r="K13" s="180">
        <v>11</v>
      </c>
    </row>
    <row r="14" spans="1:12" ht="24.75" customHeight="1">
      <c r="A14" s="302">
        <v>1</v>
      </c>
      <c r="B14" s="302">
        <v>530002</v>
      </c>
      <c r="C14" s="303" t="s">
        <v>253</v>
      </c>
      <c r="D14" s="230">
        <v>0</v>
      </c>
      <c r="E14" s="231">
        <v>0</v>
      </c>
      <c r="F14" s="231">
        <v>0</v>
      </c>
      <c r="G14" s="265">
        <v>0</v>
      </c>
      <c r="H14" s="230">
        <v>-966</v>
      </c>
      <c r="I14" s="231">
        <v>-966</v>
      </c>
      <c r="J14" s="231">
        <v>0</v>
      </c>
      <c r="K14" s="183">
        <v>5405384</v>
      </c>
    </row>
    <row r="15" spans="1:12" ht="24.75" customHeight="1">
      <c r="A15" s="302">
        <v>2</v>
      </c>
      <c r="B15" s="181">
        <v>530011</v>
      </c>
      <c r="C15" s="54" t="s">
        <v>254</v>
      </c>
      <c r="D15" s="230">
        <v>0</v>
      </c>
      <c r="E15" s="231">
        <v>0</v>
      </c>
      <c r="F15" s="231">
        <v>0</v>
      </c>
      <c r="G15" s="265">
        <v>0</v>
      </c>
      <c r="H15" s="230">
        <v>-27282</v>
      </c>
      <c r="I15" s="231">
        <v>-20192</v>
      </c>
      <c r="J15" s="231">
        <v>-7090</v>
      </c>
      <c r="K15" s="183">
        <v>-75500000</v>
      </c>
    </row>
    <row r="16" spans="1:12" ht="24.75" customHeight="1">
      <c r="A16" s="302">
        <v>4</v>
      </c>
      <c r="B16" s="307">
        <v>530023</v>
      </c>
      <c r="C16" s="55" t="s">
        <v>255</v>
      </c>
      <c r="D16" s="230">
        <v>0</v>
      </c>
      <c r="E16" s="231">
        <v>0</v>
      </c>
      <c r="F16" s="231">
        <v>0</v>
      </c>
      <c r="G16" s="265">
        <v>0</v>
      </c>
      <c r="H16" s="230">
        <v>-1550</v>
      </c>
      <c r="I16" s="231">
        <v>-1035</v>
      </c>
      <c r="J16" s="231">
        <v>-515</v>
      </c>
      <c r="K16" s="183">
        <v>-2500000</v>
      </c>
    </row>
    <row r="17" spans="1:11" ht="24.75" customHeight="1">
      <c r="A17" s="302">
        <v>5</v>
      </c>
      <c r="B17" s="181">
        <v>530024</v>
      </c>
      <c r="C17" s="55" t="s">
        <v>256</v>
      </c>
      <c r="D17" s="230">
        <v>0</v>
      </c>
      <c r="E17" s="231">
        <v>0</v>
      </c>
      <c r="F17" s="231">
        <v>0</v>
      </c>
      <c r="G17" s="265">
        <v>0</v>
      </c>
      <c r="H17" s="230">
        <v>-911</v>
      </c>
      <c r="I17" s="231">
        <v>-736</v>
      </c>
      <c r="J17" s="231">
        <v>-175</v>
      </c>
      <c r="K17" s="183">
        <v>-1500000</v>
      </c>
    </row>
    <row r="18" spans="1:11" ht="24.75" customHeight="1">
      <c r="A18" s="302">
        <v>6</v>
      </c>
      <c r="B18" s="181">
        <v>530025</v>
      </c>
      <c r="C18" s="55" t="s">
        <v>257</v>
      </c>
      <c r="D18" s="230">
        <v>0</v>
      </c>
      <c r="E18" s="231">
        <v>0</v>
      </c>
      <c r="F18" s="231">
        <v>0</v>
      </c>
      <c r="G18" s="265">
        <v>0</v>
      </c>
      <c r="H18" s="230">
        <v>-1456</v>
      </c>
      <c r="I18" s="231">
        <v>-1026</v>
      </c>
      <c r="J18" s="231">
        <v>-430</v>
      </c>
      <c r="K18" s="183">
        <v>-2702028.08</v>
      </c>
    </row>
    <row r="19" spans="1:11" ht="24.75" customHeight="1">
      <c r="A19" s="302">
        <v>7</v>
      </c>
      <c r="B19" s="181">
        <v>530026</v>
      </c>
      <c r="C19" s="55" t="s">
        <v>258</v>
      </c>
      <c r="D19" s="230">
        <v>0</v>
      </c>
      <c r="E19" s="231">
        <v>0</v>
      </c>
      <c r="F19" s="231">
        <v>0</v>
      </c>
      <c r="G19" s="265">
        <v>0</v>
      </c>
      <c r="H19" s="230">
        <v>-1645</v>
      </c>
      <c r="I19" s="231">
        <v>-1115</v>
      </c>
      <c r="J19" s="231">
        <v>-530</v>
      </c>
      <c r="K19" s="183">
        <v>-3500000</v>
      </c>
    </row>
    <row r="20" spans="1:11" ht="24.75" customHeight="1">
      <c r="A20" s="302">
        <v>8</v>
      </c>
      <c r="B20" s="181">
        <v>530027</v>
      </c>
      <c r="C20" s="55" t="s">
        <v>259</v>
      </c>
      <c r="D20" s="230">
        <v>0</v>
      </c>
      <c r="E20" s="231">
        <v>0</v>
      </c>
      <c r="F20" s="231">
        <v>0</v>
      </c>
      <c r="G20" s="265">
        <v>0</v>
      </c>
      <c r="H20" s="230">
        <v>-206</v>
      </c>
      <c r="I20" s="231">
        <v>-90</v>
      </c>
      <c r="J20" s="231">
        <v>-116</v>
      </c>
      <c r="K20" s="183">
        <v>0</v>
      </c>
    </row>
    <row r="21" spans="1:11" ht="24.75" customHeight="1">
      <c r="A21" s="302">
        <v>9</v>
      </c>
      <c r="B21" s="181">
        <v>530032</v>
      </c>
      <c r="C21" s="55" t="s">
        <v>260</v>
      </c>
      <c r="D21" s="230">
        <v>0</v>
      </c>
      <c r="E21" s="231">
        <v>0</v>
      </c>
      <c r="F21" s="231">
        <v>0</v>
      </c>
      <c r="G21" s="265">
        <v>0</v>
      </c>
      <c r="H21" s="230">
        <v>-3078</v>
      </c>
      <c r="I21" s="231">
        <v>-1882</v>
      </c>
      <c r="J21" s="231">
        <v>-1196</v>
      </c>
      <c r="K21" s="183">
        <v>-4500000</v>
      </c>
    </row>
    <row r="22" spans="1:11" ht="24.75" customHeight="1">
      <c r="A22" s="302">
        <v>10</v>
      </c>
      <c r="B22" s="307">
        <v>530034</v>
      </c>
      <c r="C22" s="55" t="s">
        <v>261</v>
      </c>
      <c r="D22" s="230">
        <v>0</v>
      </c>
      <c r="E22" s="231">
        <v>0</v>
      </c>
      <c r="F22" s="231">
        <v>0</v>
      </c>
      <c r="G22" s="265">
        <v>0</v>
      </c>
      <c r="H22" s="230">
        <v>-2092</v>
      </c>
      <c r="I22" s="231">
        <v>-1195</v>
      </c>
      <c r="J22" s="231">
        <v>-897</v>
      </c>
      <c r="K22" s="183">
        <v>-3000000</v>
      </c>
    </row>
    <row r="23" spans="1:11" ht="24.75" customHeight="1">
      <c r="A23" s="302">
        <v>11</v>
      </c>
      <c r="B23" s="181">
        <v>530037</v>
      </c>
      <c r="C23" s="55" t="s">
        <v>20</v>
      </c>
      <c r="D23" s="230">
        <v>0</v>
      </c>
      <c r="E23" s="231">
        <v>0</v>
      </c>
      <c r="F23" s="231">
        <v>0</v>
      </c>
      <c r="G23" s="265">
        <v>0</v>
      </c>
      <c r="H23" s="230">
        <v>-1405</v>
      </c>
      <c r="I23" s="231">
        <v>-875</v>
      </c>
      <c r="J23" s="231">
        <v>-530</v>
      </c>
      <c r="K23" s="183">
        <v>-2500000</v>
      </c>
    </row>
    <row r="24" spans="1:11" ht="24.75" customHeight="1">
      <c r="A24" s="302">
        <v>12</v>
      </c>
      <c r="B24" s="181">
        <v>530040</v>
      </c>
      <c r="C24" s="305" t="s">
        <v>262</v>
      </c>
      <c r="D24" s="230">
        <v>0</v>
      </c>
      <c r="E24" s="231">
        <v>0</v>
      </c>
      <c r="F24" s="231">
        <v>0</v>
      </c>
      <c r="G24" s="265">
        <v>0</v>
      </c>
      <c r="H24" s="230">
        <v>-1535</v>
      </c>
      <c r="I24" s="231">
        <v>-1120</v>
      </c>
      <c r="J24" s="231">
        <v>-415</v>
      </c>
      <c r="K24" s="183">
        <v>-3500000</v>
      </c>
    </row>
    <row r="25" spans="1:11" ht="24.75" customHeight="1">
      <c r="A25" s="302">
        <v>13</v>
      </c>
      <c r="B25" s="181">
        <v>530042</v>
      </c>
      <c r="C25" s="55" t="s">
        <v>263</v>
      </c>
      <c r="D25" s="230">
        <v>0</v>
      </c>
      <c r="E25" s="231">
        <v>0</v>
      </c>
      <c r="F25" s="231">
        <v>0</v>
      </c>
      <c r="G25" s="265">
        <v>0</v>
      </c>
      <c r="H25" s="230">
        <v>-887</v>
      </c>
      <c r="I25" s="231">
        <v>156</v>
      </c>
      <c r="J25" s="231">
        <v>-1043</v>
      </c>
      <c r="K25" s="183">
        <v>128191.93</v>
      </c>
    </row>
    <row r="26" spans="1:11" ht="24.75" customHeight="1">
      <c r="A26" s="302">
        <v>14</v>
      </c>
      <c r="B26" s="307">
        <v>530045</v>
      </c>
      <c r="C26" s="55" t="s">
        <v>22</v>
      </c>
      <c r="D26" s="230">
        <v>0</v>
      </c>
      <c r="E26" s="231">
        <v>0</v>
      </c>
      <c r="F26" s="231">
        <v>0</v>
      </c>
      <c r="G26" s="265">
        <v>0</v>
      </c>
      <c r="H26" s="230">
        <v>-1787</v>
      </c>
      <c r="I26" s="231">
        <v>-1390</v>
      </c>
      <c r="J26" s="231">
        <v>-397</v>
      </c>
      <c r="K26" s="183">
        <v>-2500000</v>
      </c>
    </row>
    <row r="27" spans="1:11" ht="35.25" customHeight="1">
      <c r="A27" s="302">
        <v>15</v>
      </c>
      <c r="B27" s="307">
        <v>530046</v>
      </c>
      <c r="C27" s="55" t="s">
        <v>264</v>
      </c>
      <c r="D27" s="230">
        <v>0</v>
      </c>
      <c r="E27" s="231">
        <v>0</v>
      </c>
      <c r="F27" s="231">
        <v>0</v>
      </c>
      <c r="G27" s="265">
        <v>0</v>
      </c>
      <c r="H27" s="230">
        <v>10</v>
      </c>
      <c r="I27" s="231">
        <v>0</v>
      </c>
      <c r="J27" s="231">
        <v>10</v>
      </c>
      <c r="K27" s="183">
        <v>-331547.84999999998</v>
      </c>
    </row>
    <row r="28" spans="1:11" ht="39.75" customHeight="1">
      <c r="A28" s="302">
        <v>16</v>
      </c>
      <c r="B28" s="307">
        <v>530133</v>
      </c>
      <c r="C28" s="55" t="s">
        <v>265</v>
      </c>
      <c r="D28" s="230">
        <v>0</v>
      </c>
      <c r="E28" s="231">
        <v>0</v>
      </c>
      <c r="F28" s="231">
        <v>0</v>
      </c>
      <c r="G28" s="265">
        <v>0</v>
      </c>
      <c r="H28" s="230">
        <v>-159</v>
      </c>
      <c r="I28" s="231">
        <v>0</v>
      </c>
      <c r="J28" s="231">
        <v>-159</v>
      </c>
      <c r="K28" s="183">
        <v>0</v>
      </c>
    </row>
    <row r="29" spans="1:11" ht="24.75" customHeight="1">
      <c r="A29" s="302">
        <v>17</v>
      </c>
      <c r="B29" s="181">
        <v>530153</v>
      </c>
      <c r="C29" s="55" t="s">
        <v>266</v>
      </c>
      <c r="D29" s="230">
        <v>0</v>
      </c>
      <c r="E29" s="231">
        <v>0</v>
      </c>
      <c r="F29" s="231">
        <v>0</v>
      </c>
      <c r="G29" s="265">
        <v>0</v>
      </c>
      <c r="H29" s="230">
        <v>-411</v>
      </c>
      <c r="I29" s="231">
        <v>-265</v>
      </c>
      <c r="J29" s="231">
        <v>-146</v>
      </c>
      <c r="K29" s="183">
        <v>0</v>
      </c>
    </row>
    <row r="30" spans="1:11" ht="24.75" customHeight="1">
      <c r="A30" s="302">
        <v>18</v>
      </c>
      <c r="B30" s="181">
        <v>530154</v>
      </c>
      <c r="C30" s="235" t="s">
        <v>188</v>
      </c>
      <c r="D30" s="230">
        <v>0</v>
      </c>
      <c r="E30" s="231">
        <v>0</v>
      </c>
      <c r="F30" s="231">
        <v>600</v>
      </c>
      <c r="G30" s="265">
        <v>1246746</v>
      </c>
      <c r="H30" s="230">
        <v>0</v>
      </c>
      <c r="I30" s="231">
        <v>0</v>
      </c>
      <c r="J30" s="231">
        <v>0</v>
      </c>
      <c r="K30" s="183">
        <v>0</v>
      </c>
    </row>
    <row r="31" spans="1:11" ht="36" customHeight="1">
      <c r="A31" s="302">
        <v>19</v>
      </c>
      <c r="B31" s="307">
        <v>530156</v>
      </c>
      <c r="C31" s="55" t="s">
        <v>267</v>
      </c>
      <c r="D31" s="230">
        <v>0</v>
      </c>
      <c r="E31" s="231">
        <v>0</v>
      </c>
      <c r="F31" s="231">
        <v>0</v>
      </c>
      <c r="G31" s="265">
        <v>0</v>
      </c>
      <c r="H31" s="230">
        <v>-854</v>
      </c>
      <c r="I31" s="231">
        <v>0</v>
      </c>
      <c r="J31" s="231">
        <v>-854</v>
      </c>
      <c r="K31" s="183">
        <v>0</v>
      </c>
    </row>
    <row r="32" spans="1:11" ht="24.75" customHeight="1">
      <c r="A32" s="302">
        <v>20</v>
      </c>
      <c r="B32" s="307">
        <v>530158</v>
      </c>
      <c r="C32" s="55" t="s">
        <v>268</v>
      </c>
      <c r="D32" s="230">
        <v>0</v>
      </c>
      <c r="E32" s="231">
        <v>0</v>
      </c>
      <c r="F32" s="231">
        <v>0</v>
      </c>
      <c r="G32" s="265">
        <v>0</v>
      </c>
      <c r="H32" s="230">
        <v>-25</v>
      </c>
      <c r="I32" s="231">
        <v>0</v>
      </c>
      <c r="J32" s="231">
        <v>-25</v>
      </c>
      <c r="K32" s="183">
        <v>0</v>
      </c>
    </row>
    <row r="33" spans="1:11" ht="36.75" customHeight="1">
      <c r="A33" s="302">
        <v>21</v>
      </c>
      <c r="B33" s="181">
        <v>530171</v>
      </c>
      <c r="C33" s="306" t="s">
        <v>244</v>
      </c>
      <c r="D33" s="230">
        <v>0</v>
      </c>
      <c r="E33" s="231">
        <v>0</v>
      </c>
      <c r="F33" s="231">
        <v>0</v>
      </c>
      <c r="G33" s="265">
        <v>0</v>
      </c>
      <c r="H33" s="230">
        <v>-2486</v>
      </c>
      <c r="I33" s="231">
        <v>-1230</v>
      </c>
      <c r="J33" s="231">
        <v>-1256</v>
      </c>
      <c r="K33" s="183">
        <v>-5000000</v>
      </c>
    </row>
    <row r="34" spans="1:11" ht="24.75" customHeight="1">
      <c r="A34" s="302">
        <v>22</v>
      </c>
      <c r="B34" s="181">
        <v>530188</v>
      </c>
      <c r="C34" s="55" t="s">
        <v>29</v>
      </c>
      <c r="D34" s="230">
        <v>0</v>
      </c>
      <c r="E34" s="231">
        <v>0</v>
      </c>
      <c r="F34" s="231">
        <v>0</v>
      </c>
      <c r="G34" s="265">
        <v>0</v>
      </c>
      <c r="H34" s="230">
        <v>-3442</v>
      </c>
      <c r="I34" s="231">
        <v>-2470</v>
      </c>
      <c r="J34" s="231">
        <v>-972</v>
      </c>
      <c r="K34" s="183">
        <v>-6000000</v>
      </c>
    </row>
    <row r="35" spans="1:11" ht="24.75" customHeight="1">
      <c r="A35" s="302">
        <v>23</v>
      </c>
      <c r="B35" s="307">
        <v>530225</v>
      </c>
      <c r="C35" s="55" t="s">
        <v>269</v>
      </c>
      <c r="D35" s="230">
        <v>0</v>
      </c>
      <c r="E35" s="231">
        <v>0</v>
      </c>
      <c r="F35" s="231">
        <v>0</v>
      </c>
      <c r="G35" s="265">
        <v>0</v>
      </c>
      <c r="H35" s="230">
        <v>-6011</v>
      </c>
      <c r="I35" s="231">
        <v>-3860</v>
      </c>
      <c r="J35" s="231">
        <v>-2151</v>
      </c>
      <c r="K35" s="183">
        <v>-17500000</v>
      </c>
    </row>
    <row r="36" spans="1:11" ht="35.25" customHeight="1">
      <c r="A36" s="302">
        <v>24</v>
      </c>
      <c r="B36" s="307">
        <v>530226</v>
      </c>
      <c r="C36" s="308" t="s">
        <v>31</v>
      </c>
      <c r="D36" s="230">
        <v>0</v>
      </c>
      <c r="E36" s="231">
        <v>0</v>
      </c>
      <c r="F36" s="231">
        <v>0</v>
      </c>
      <c r="G36" s="265">
        <v>0</v>
      </c>
      <c r="H36" s="230">
        <v>-5402</v>
      </c>
      <c r="I36" s="231">
        <v>-3806</v>
      </c>
      <c r="J36" s="231">
        <v>-1596</v>
      </c>
      <c r="K36" s="183">
        <v>-10000000</v>
      </c>
    </row>
    <row r="37" spans="1:11" ht="24.75" customHeight="1">
      <c r="A37" s="302">
        <v>25</v>
      </c>
      <c r="B37" s="181">
        <v>530227</v>
      </c>
      <c r="C37" s="55" t="s">
        <v>270</v>
      </c>
      <c r="D37" s="230">
        <v>0</v>
      </c>
      <c r="E37" s="231">
        <v>0</v>
      </c>
      <c r="F37" s="231">
        <v>0</v>
      </c>
      <c r="G37" s="265">
        <v>0</v>
      </c>
      <c r="H37" s="230">
        <v>-5295</v>
      </c>
      <c r="I37" s="231">
        <v>-4550</v>
      </c>
      <c r="J37" s="231">
        <v>-745</v>
      </c>
      <c r="K37" s="183">
        <v>-15000000</v>
      </c>
    </row>
    <row r="38" spans="1:11" ht="22.5" customHeight="1">
      <c r="A38" s="302">
        <v>26</v>
      </c>
      <c r="B38" s="181">
        <v>530228</v>
      </c>
      <c r="C38" s="305" t="s">
        <v>271</v>
      </c>
      <c r="D38" s="230">
        <v>0</v>
      </c>
      <c r="E38" s="231">
        <v>0</v>
      </c>
      <c r="F38" s="231">
        <v>0</v>
      </c>
      <c r="G38" s="265">
        <v>0</v>
      </c>
      <c r="H38" s="230">
        <v>-725</v>
      </c>
      <c r="I38" s="231">
        <v>-360</v>
      </c>
      <c r="J38" s="231">
        <v>-365</v>
      </c>
      <c r="K38" s="183">
        <v>0</v>
      </c>
    </row>
    <row r="39" spans="1:11" s="57" customFormat="1">
      <c r="A39" s="479" t="s">
        <v>34</v>
      </c>
      <c r="B39" s="480"/>
      <c r="C39" s="481"/>
      <c r="D39" s="84">
        <f>SUM(D30:D30)</f>
        <v>0</v>
      </c>
      <c r="E39" s="84">
        <f>SUM(E30:E30)</f>
        <v>0</v>
      </c>
      <c r="F39" s="84">
        <f>SUM(F30:F30)</f>
        <v>600</v>
      </c>
      <c r="G39" s="266">
        <f>SUM(G30:G30)</f>
        <v>1246746</v>
      </c>
      <c r="H39" s="84">
        <f>SUM(H14:H38)</f>
        <v>-69600</v>
      </c>
      <c r="I39" s="84">
        <f t="shared" ref="I39:K39" si="0">SUM(I14:I38)</f>
        <v>-48007</v>
      </c>
      <c r="J39" s="84">
        <f t="shared" si="0"/>
        <v>-21593</v>
      </c>
      <c r="K39" s="185">
        <f t="shared" si="0"/>
        <v>-150000000</v>
      </c>
    </row>
    <row r="67" spans="1:12" s="58" customFormat="1">
      <c r="A67" s="178"/>
      <c r="B67" s="178"/>
      <c r="C67" s="52"/>
      <c r="D67" s="111"/>
      <c r="G67" s="262"/>
      <c r="L67" s="57"/>
    </row>
  </sheetData>
  <mergeCells count="14">
    <mergeCell ref="A39:C39"/>
    <mergeCell ref="H11:H12"/>
    <mergeCell ref="I11:J11"/>
    <mergeCell ref="K11:K12"/>
    <mergeCell ref="A5:L5"/>
    <mergeCell ref="A7:K7"/>
    <mergeCell ref="A10:A12"/>
    <mergeCell ref="B10:B12"/>
    <mergeCell ref="C10:C12"/>
    <mergeCell ref="D10:G10"/>
    <mergeCell ref="H10:K10"/>
    <mergeCell ref="D11:D12"/>
    <mergeCell ref="E11:F11"/>
    <mergeCell ref="G11:G12"/>
  </mergeCells>
  <pageMargins left="0.78740157480314965" right="0.39370078740157483" top="0.39370078740157483" bottom="0.39370078740157483" header="0.31496062992125984" footer="0.31496062992125984"/>
  <pageSetup paperSize="9" scale="54" fitToHeight="0" orientation="portrait" r:id="rId1"/>
  <ignoredErrors>
    <ignoredError sqref="H39:K3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  <pageSetUpPr fitToPage="1"/>
  </sheetPr>
  <dimension ref="A1:L36"/>
  <sheetViews>
    <sheetView zoomScale="80" zoomScaleNormal="80" workbookViewId="0">
      <pane xSplit="3" ySplit="8" topLeftCell="D9" activePane="bottomRight" state="frozen"/>
      <selection activeCell="J45" sqref="J45"/>
      <selection pane="topRight" activeCell="J45" sqref="J45"/>
      <selection pane="bottomLeft" activeCell="J45" sqref="J45"/>
      <selection pane="bottomRight" activeCell="L23" sqref="L22:L23"/>
    </sheetView>
  </sheetViews>
  <sheetFormatPr defaultColWidth="10.28515625" defaultRowHeight="18.75"/>
  <cols>
    <col min="1" max="1" width="7.28515625" style="56" customWidth="1"/>
    <col min="2" max="2" width="10.28515625" style="56"/>
    <col min="3" max="3" width="41" style="187" customWidth="1"/>
    <col min="4" max="4" width="15.42578125" style="52" customWidth="1"/>
    <col min="5" max="5" width="12.140625" style="58" customWidth="1"/>
    <col min="6" max="6" width="13.5703125" style="58" customWidth="1"/>
    <col min="7" max="7" width="17.5703125" style="58" customWidth="1"/>
    <col min="8" max="8" width="17.7109375" style="58" customWidth="1"/>
    <col min="9" max="9" width="13" style="58" customWidth="1"/>
    <col min="10" max="10" width="11.28515625" style="58" customWidth="1"/>
    <col min="11" max="11" width="22" style="58" customWidth="1"/>
    <col min="12" max="12" width="21.85546875" style="57" customWidth="1"/>
    <col min="13" max="16384" width="10.28515625" style="52"/>
  </cols>
  <sheetData>
    <row r="1" spans="1:12">
      <c r="G1" s="120"/>
      <c r="H1" s="120"/>
      <c r="I1" s="32"/>
      <c r="J1" s="32"/>
      <c r="K1" s="125" t="s">
        <v>222</v>
      </c>
      <c r="L1" s="125"/>
    </row>
    <row r="2" spans="1:12">
      <c r="I2" s="32"/>
      <c r="J2" s="32"/>
      <c r="K2" s="31" t="s">
        <v>157</v>
      </c>
      <c r="L2" s="31"/>
    </row>
    <row r="3" spans="1:12">
      <c r="G3" s="120"/>
      <c r="H3" s="120"/>
      <c r="I3" s="32"/>
      <c r="J3" s="32"/>
      <c r="K3" s="125" t="s">
        <v>237</v>
      </c>
      <c r="L3" s="125"/>
    </row>
    <row r="5" spans="1:12" ht="38.25" hidden="1" customHeight="1">
      <c r="A5" s="486" t="s">
        <v>144</v>
      </c>
      <c r="B5" s="486"/>
      <c r="C5" s="486"/>
      <c r="D5" s="486"/>
      <c r="E5" s="486"/>
      <c r="F5" s="486"/>
      <c r="G5" s="486"/>
      <c r="H5" s="486"/>
      <c r="I5" s="486"/>
      <c r="J5" s="486"/>
      <c r="K5" s="486"/>
      <c r="L5" s="486"/>
    </row>
    <row r="6" spans="1:12" ht="15" hidden="1" customHeight="1">
      <c r="A6" s="66"/>
      <c r="B6" s="66"/>
      <c r="C6" s="293"/>
      <c r="D6" s="66"/>
      <c r="E6" s="66"/>
      <c r="F6" s="66"/>
      <c r="G6" s="66"/>
      <c r="H6" s="155"/>
      <c r="I6" s="155"/>
      <c r="J6" s="155"/>
      <c r="K6" s="155"/>
      <c r="L6" s="66"/>
    </row>
    <row r="7" spans="1:12" ht="19.5" customHeight="1">
      <c r="A7" s="487" t="s">
        <v>143</v>
      </c>
      <c r="B7" s="487"/>
      <c r="C7" s="487"/>
      <c r="D7" s="487"/>
      <c r="E7" s="487"/>
      <c r="F7" s="487"/>
      <c r="G7" s="487"/>
      <c r="H7" s="487"/>
      <c r="I7" s="487"/>
      <c r="J7" s="487"/>
      <c r="K7" s="487"/>
      <c r="L7" s="187"/>
    </row>
    <row r="8" spans="1:12">
      <c r="A8" s="59"/>
      <c r="B8" s="59"/>
      <c r="C8" s="293"/>
      <c r="D8" s="59"/>
      <c r="E8" s="60"/>
      <c r="F8" s="60"/>
      <c r="G8" s="60"/>
      <c r="H8" s="60"/>
      <c r="I8" s="60"/>
      <c r="J8" s="60"/>
      <c r="K8" s="60"/>
      <c r="L8" s="59"/>
    </row>
    <row r="9" spans="1:12">
      <c r="A9" s="59"/>
      <c r="B9" s="59"/>
      <c r="C9" s="293"/>
      <c r="D9" s="59"/>
      <c r="E9" s="60"/>
      <c r="F9" s="60"/>
      <c r="G9" s="60"/>
      <c r="H9" s="60"/>
      <c r="I9" s="60"/>
      <c r="J9" s="60"/>
      <c r="K9" s="60"/>
      <c r="L9" s="59"/>
    </row>
    <row r="10" spans="1:12" ht="39.75" customHeight="1">
      <c r="A10" s="488" t="s">
        <v>35</v>
      </c>
      <c r="B10" s="488" t="s">
        <v>1</v>
      </c>
      <c r="C10" s="488" t="s">
        <v>135</v>
      </c>
      <c r="D10" s="460" t="s">
        <v>163</v>
      </c>
      <c r="E10" s="489"/>
      <c r="F10" s="489"/>
      <c r="G10" s="461"/>
      <c r="H10" s="462" t="s">
        <v>164</v>
      </c>
      <c r="I10" s="493"/>
      <c r="J10" s="493"/>
      <c r="K10" s="463"/>
      <c r="L10" s="59"/>
    </row>
    <row r="11" spans="1:12" ht="18.75" customHeight="1">
      <c r="A11" s="488"/>
      <c r="B11" s="488"/>
      <c r="C11" s="488"/>
      <c r="D11" s="456" t="s">
        <v>210</v>
      </c>
      <c r="E11" s="494" t="s">
        <v>211</v>
      </c>
      <c r="F11" s="495"/>
      <c r="G11" s="496" t="s">
        <v>37</v>
      </c>
      <c r="H11" s="456" t="s">
        <v>210</v>
      </c>
      <c r="I11" s="494" t="s">
        <v>211</v>
      </c>
      <c r="J11" s="495"/>
      <c r="K11" s="496" t="s">
        <v>37</v>
      </c>
    </row>
    <row r="12" spans="1:12" ht="37.5" customHeight="1">
      <c r="A12" s="488"/>
      <c r="B12" s="488"/>
      <c r="C12" s="488"/>
      <c r="D12" s="457"/>
      <c r="E12" s="237" t="s">
        <v>136</v>
      </c>
      <c r="F12" s="237" t="s">
        <v>212</v>
      </c>
      <c r="G12" s="497"/>
      <c r="H12" s="457"/>
      <c r="I12" s="237" t="s">
        <v>136</v>
      </c>
      <c r="J12" s="237" t="s">
        <v>212</v>
      </c>
      <c r="K12" s="497"/>
    </row>
    <row r="13" spans="1:12">
      <c r="A13" s="238" t="s">
        <v>137</v>
      </c>
      <c r="B13" s="238" t="s">
        <v>138</v>
      </c>
      <c r="C13" s="294" t="s">
        <v>92</v>
      </c>
      <c r="D13" s="182">
        <v>4</v>
      </c>
      <c r="E13" s="180">
        <v>5</v>
      </c>
      <c r="F13" s="180">
        <v>6</v>
      </c>
      <c r="G13" s="180">
        <v>7</v>
      </c>
      <c r="H13" s="180">
        <v>8</v>
      </c>
      <c r="I13" s="180">
        <v>9</v>
      </c>
      <c r="J13" s="180">
        <v>10</v>
      </c>
      <c r="K13" s="180">
        <v>11</v>
      </c>
    </row>
    <row r="14" spans="1:12">
      <c r="A14" s="294" t="s">
        <v>137</v>
      </c>
      <c r="B14" s="294" t="s">
        <v>213</v>
      </c>
      <c r="C14" s="179" t="s">
        <v>272</v>
      </c>
      <c r="D14" s="181">
        <v>0</v>
      </c>
      <c r="E14" s="307">
        <v>0</v>
      </c>
      <c r="F14" s="307">
        <v>0</v>
      </c>
      <c r="G14" s="265">
        <v>0</v>
      </c>
      <c r="H14" s="231">
        <f>I14+J14</f>
        <v>2</v>
      </c>
      <c r="I14" s="231">
        <v>0</v>
      </c>
      <c r="J14" s="231">
        <v>2</v>
      </c>
      <c r="K14" s="265">
        <v>120695.22</v>
      </c>
    </row>
    <row r="15" spans="1:12">
      <c r="A15" s="294" t="s">
        <v>138</v>
      </c>
      <c r="B15" s="53">
        <v>530011</v>
      </c>
      <c r="C15" s="229" t="s">
        <v>254</v>
      </c>
      <c r="D15" s="181">
        <v>0</v>
      </c>
      <c r="E15" s="307">
        <v>0</v>
      </c>
      <c r="F15" s="307">
        <v>0</v>
      </c>
      <c r="G15" s="265">
        <v>0</v>
      </c>
      <c r="H15" s="311">
        <f t="shared" ref="H15:H33" si="0">I15+J15</f>
        <v>-32002</v>
      </c>
      <c r="I15" s="311">
        <v>-32000</v>
      </c>
      <c r="J15" s="61">
        <v>-2</v>
      </c>
      <c r="K15" s="313">
        <f>-120695.22-71200000</f>
        <v>-71320695.219999999</v>
      </c>
    </row>
    <row r="16" spans="1:12">
      <c r="A16" s="294" t="s">
        <v>92</v>
      </c>
      <c r="B16" s="304">
        <v>530023</v>
      </c>
      <c r="C16" s="55" t="s">
        <v>255</v>
      </c>
      <c r="D16" s="181">
        <v>0</v>
      </c>
      <c r="E16" s="307">
        <v>0</v>
      </c>
      <c r="F16" s="307">
        <v>0</v>
      </c>
      <c r="G16" s="265">
        <v>0</v>
      </c>
      <c r="H16" s="311">
        <f t="shared" si="0"/>
        <v>-1300</v>
      </c>
      <c r="I16" s="311">
        <v>-1300</v>
      </c>
      <c r="J16" s="61">
        <v>0</v>
      </c>
      <c r="K16" s="313">
        <v>-3000000</v>
      </c>
    </row>
    <row r="17" spans="1:11">
      <c r="A17" s="294" t="s">
        <v>48</v>
      </c>
      <c r="B17" s="53">
        <v>530025</v>
      </c>
      <c r="C17" s="55" t="s">
        <v>257</v>
      </c>
      <c r="D17" s="181">
        <v>0</v>
      </c>
      <c r="E17" s="307">
        <v>0</v>
      </c>
      <c r="F17" s="307">
        <v>0</v>
      </c>
      <c r="G17" s="265">
        <v>0</v>
      </c>
      <c r="H17" s="311">
        <f t="shared" si="0"/>
        <v>-1100</v>
      </c>
      <c r="I17" s="311">
        <v>-1103</v>
      </c>
      <c r="J17" s="61">
        <v>3</v>
      </c>
      <c r="K17" s="313">
        <v>-3000000</v>
      </c>
    </row>
    <row r="18" spans="1:11">
      <c r="A18" s="294" t="s">
        <v>273</v>
      </c>
      <c r="B18" s="53">
        <v>530026</v>
      </c>
      <c r="C18" s="55" t="s">
        <v>258</v>
      </c>
      <c r="D18" s="181">
        <v>0</v>
      </c>
      <c r="E18" s="307">
        <v>0</v>
      </c>
      <c r="F18" s="307">
        <v>0</v>
      </c>
      <c r="G18" s="265">
        <v>0</v>
      </c>
      <c r="H18" s="311">
        <f t="shared" si="0"/>
        <v>-1300</v>
      </c>
      <c r="I18" s="311">
        <v>-1300</v>
      </c>
      <c r="J18" s="61">
        <v>0</v>
      </c>
      <c r="K18" s="313">
        <v>-3000000</v>
      </c>
    </row>
    <row r="19" spans="1:11">
      <c r="A19" s="294" t="s">
        <v>274</v>
      </c>
      <c r="B19" s="53">
        <v>530032</v>
      </c>
      <c r="C19" s="55" t="s">
        <v>260</v>
      </c>
      <c r="D19" s="181">
        <v>0</v>
      </c>
      <c r="E19" s="307">
        <v>0</v>
      </c>
      <c r="F19" s="307">
        <v>0</v>
      </c>
      <c r="G19" s="265">
        <v>0</v>
      </c>
      <c r="H19" s="311">
        <f t="shared" si="0"/>
        <v>-5000</v>
      </c>
      <c r="I19" s="311">
        <v>-5011</v>
      </c>
      <c r="J19" s="61">
        <v>11</v>
      </c>
      <c r="K19" s="313">
        <v>-11000000</v>
      </c>
    </row>
    <row r="20" spans="1:11">
      <c r="A20" s="294" t="s">
        <v>275</v>
      </c>
      <c r="B20" s="304">
        <v>530034</v>
      </c>
      <c r="C20" s="55" t="s">
        <v>261</v>
      </c>
      <c r="D20" s="181">
        <v>0</v>
      </c>
      <c r="E20" s="307">
        <v>0</v>
      </c>
      <c r="F20" s="307">
        <v>0</v>
      </c>
      <c r="G20" s="265">
        <v>0</v>
      </c>
      <c r="H20" s="311">
        <f t="shared" si="0"/>
        <v>-3000</v>
      </c>
      <c r="I20" s="311">
        <v>-3001</v>
      </c>
      <c r="J20" s="61">
        <v>1</v>
      </c>
      <c r="K20" s="313">
        <v>-6200000</v>
      </c>
    </row>
    <row r="21" spans="1:11">
      <c r="A21" s="294" t="s">
        <v>276</v>
      </c>
      <c r="B21" s="53">
        <v>530037</v>
      </c>
      <c r="C21" s="55" t="s">
        <v>20</v>
      </c>
      <c r="D21" s="181">
        <v>0</v>
      </c>
      <c r="E21" s="307">
        <v>0</v>
      </c>
      <c r="F21" s="307">
        <v>0</v>
      </c>
      <c r="G21" s="265">
        <v>0</v>
      </c>
      <c r="H21" s="311">
        <f t="shared" si="0"/>
        <v>-1100</v>
      </c>
      <c r="I21" s="311">
        <v>-1100</v>
      </c>
      <c r="J21" s="61">
        <v>0</v>
      </c>
      <c r="K21" s="313">
        <v>-2600000</v>
      </c>
    </row>
    <row r="22" spans="1:11">
      <c r="A22" s="294" t="s">
        <v>277</v>
      </c>
      <c r="B22" s="53">
        <v>530040</v>
      </c>
      <c r="C22" s="310" t="s">
        <v>262</v>
      </c>
      <c r="D22" s="181">
        <v>0</v>
      </c>
      <c r="E22" s="307">
        <v>0</v>
      </c>
      <c r="F22" s="307">
        <v>0</v>
      </c>
      <c r="G22" s="265">
        <v>0</v>
      </c>
      <c r="H22" s="311">
        <f t="shared" si="0"/>
        <v>-1000</v>
      </c>
      <c r="I22" s="311">
        <v>-1000</v>
      </c>
      <c r="J22" s="61">
        <v>0</v>
      </c>
      <c r="K22" s="313">
        <v>-2300000</v>
      </c>
    </row>
    <row r="23" spans="1:11">
      <c r="A23" s="294" t="s">
        <v>278</v>
      </c>
      <c r="B23" s="53">
        <v>530042</v>
      </c>
      <c r="C23" s="55" t="s">
        <v>263</v>
      </c>
      <c r="D23" s="181">
        <v>0</v>
      </c>
      <c r="E23" s="307">
        <v>0</v>
      </c>
      <c r="F23" s="307">
        <v>0</v>
      </c>
      <c r="G23" s="265">
        <v>0</v>
      </c>
      <c r="H23" s="311">
        <f t="shared" si="0"/>
        <v>-3000</v>
      </c>
      <c r="I23" s="311">
        <v>-3000</v>
      </c>
      <c r="J23" s="61">
        <v>0</v>
      </c>
      <c r="K23" s="313">
        <v>-6400000</v>
      </c>
    </row>
    <row r="24" spans="1:11">
      <c r="A24" s="294" t="s">
        <v>49</v>
      </c>
      <c r="B24" s="304">
        <v>530045</v>
      </c>
      <c r="C24" s="55" t="s">
        <v>22</v>
      </c>
      <c r="D24" s="181">
        <v>0</v>
      </c>
      <c r="E24" s="307">
        <v>0</v>
      </c>
      <c r="F24" s="307">
        <v>0</v>
      </c>
      <c r="G24" s="265">
        <v>0</v>
      </c>
      <c r="H24" s="311">
        <f t="shared" si="0"/>
        <v>-1000</v>
      </c>
      <c r="I24" s="311">
        <v>-1000</v>
      </c>
      <c r="J24" s="61">
        <v>0</v>
      </c>
      <c r="K24" s="313">
        <v>-1500000</v>
      </c>
    </row>
    <row r="25" spans="1:11">
      <c r="A25" s="294" t="s">
        <v>50</v>
      </c>
      <c r="B25" s="304">
        <v>530153</v>
      </c>
      <c r="C25" s="55" t="s">
        <v>266</v>
      </c>
      <c r="D25" s="181">
        <v>0</v>
      </c>
      <c r="E25" s="307">
        <v>0</v>
      </c>
      <c r="F25" s="307">
        <v>0</v>
      </c>
      <c r="G25" s="265">
        <v>0</v>
      </c>
      <c r="H25" s="311">
        <f t="shared" si="0"/>
        <v>-200</v>
      </c>
      <c r="I25" s="311">
        <v>-200</v>
      </c>
      <c r="J25" s="61">
        <v>0</v>
      </c>
      <c r="K25" s="313">
        <v>-600000</v>
      </c>
    </row>
    <row r="26" spans="1:11">
      <c r="A26" s="294" t="s">
        <v>279</v>
      </c>
      <c r="B26" s="53">
        <v>530154</v>
      </c>
      <c r="C26" s="229" t="s">
        <v>188</v>
      </c>
      <c r="D26" s="232">
        <f>E26+F26</f>
        <v>412</v>
      </c>
      <c r="E26" s="61">
        <v>412</v>
      </c>
      <c r="F26" s="61">
        <v>0</v>
      </c>
      <c r="G26" s="265">
        <v>971252</v>
      </c>
      <c r="H26" s="230">
        <v>0</v>
      </c>
      <c r="I26" s="61">
        <v>0</v>
      </c>
      <c r="J26" s="61">
        <v>0</v>
      </c>
      <c r="K26" s="313">
        <v>0</v>
      </c>
    </row>
    <row r="27" spans="1:11" ht="21.75" customHeight="1">
      <c r="A27" s="294" t="s">
        <v>280</v>
      </c>
      <c r="B27" s="304">
        <v>530156</v>
      </c>
      <c r="C27" s="55" t="s">
        <v>267</v>
      </c>
      <c r="D27" s="181">
        <v>0</v>
      </c>
      <c r="E27" s="307">
        <v>0</v>
      </c>
      <c r="F27" s="307">
        <v>0</v>
      </c>
      <c r="G27" s="265">
        <v>0</v>
      </c>
      <c r="H27" s="312">
        <f t="shared" si="0"/>
        <v>-1000</v>
      </c>
      <c r="I27" s="312">
        <v>-1000</v>
      </c>
      <c r="J27" s="309">
        <v>0</v>
      </c>
      <c r="K27" s="317">
        <v>-2000000</v>
      </c>
    </row>
    <row r="28" spans="1:11" ht="37.5">
      <c r="A28" s="294" t="s">
        <v>281</v>
      </c>
      <c r="B28" s="181">
        <v>530171</v>
      </c>
      <c r="C28" s="306" t="s">
        <v>244</v>
      </c>
      <c r="D28" s="181">
        <v>0</v>
      </c>
      <c r="E28" s="307">
        <v>0</v>
      </c>
      <c r="F28" s="307">
        <v>0</v>
      </c>
      <c r="G28" s="265">
        <v>0</v>
      </c>
      <c r="H28" s="311">
        <f t="shared" si="0"/>
        <v>-4000</v>
      </c>
      <c r="I28" s="311">
        <v>-4000</v>
      </c>
      <c r="J28" s="61">
        <v>0</v>
      </c>
      <c r="K28" s="313">
        <v>-8900000</v>
      </c>
    </row>
    <row r="29" spans="1:11">
      <c r="A29" s="294" t="s">
        <v>51</v>
      </c>
      <c r="B29" s="53">
        <v>530188</v>
      </c>
      <c r="C29" s="55" t="s">
        <v>29</v>
      </c>
      <c r="D29" s="181">
        <v>0</v>
      </c>
      <c r="E29" s="307">
        <v>0</v>
      </c>
      <c r="F29" s="307">
        <v>0</v>
      </c>
      <c r="G29" s="265">
        <v>0</v>
      </c>
      <c r="H29" s="311">
        <f t="shared" si="0"/>
        <v>-1100</v>
      </c>
      <c r="I29" s="311">
        <v>-1100</v>
      </c>
      <c r="J29" s="61">
        <v>0</v>
      </c>
      <c r="K29" s="313">
        <v>-1400000</v>
      </c>
    </row>
    <row r="30" spans="1:11">
      <c r="A30" s="294" t="s">
        <v>282</v>
      </c>
      <c r="B30" s="304">
        <v>530225</v>
      </c>
      <c r="C30" s="55" t="s">
        <v>269</v>
      </c>
      <c r="D30" s="181">
        <v>0</v>
      </c>
      <c r="E30" s="307">
        <v>0</v>
      </c>
      <c r="F30" s="307">
        <v>0</v>
      </c>
      <c r="G30" s="265">
        <v>0</v>
      </c>
      <c r="H30" s="311">
        <f t="shared" si="0"/>
        <v>-6000</v>
      </c>
      <c r="I30" s="311">
        <v>-6000</v>
      </c>
      <c r="J30" s="61">
        <v>0</v>
      </c>
      <c r="K30" s="313">
        <v>-13000000</v>
      </c>
    </row>
    <row r="31" spans="1:11" ht="36" customHeight="1">
      <c r="A31" s="294" t="s">
        <v>68</v>
      </c>
      <c r="B31" s="307">
        <v>530226</v>
      </c>
      <c r="C31" s="55" t="s">
        <v>31</v>
      </c>
      <c r="D31" s="181">
        <v>0</v>
      </c>
      <c r="E31" s="307">
        <v>0</v>
      </c>
      <c r="F31" s="307">
        <v>0</v>
      </c>
      <c r="G31" s="265">
        <v>0</v>
      </c>
      <c r="H31" s="311">
        <f t="shared" si="0"/>
        <v>-3300</v>
      </c>
      <c r="I31" s="311">
        <v>-3300</v>
      </c>
      <c r="J31" s="61">
        <v>0</v>
      </c>
      <c r="K31" s="313">
        <v>-8000000</v>
      </c>
    </row>
    <row r="32" spans="1:11">
      <c r="A32" s="294" t="s">
        <v>70</v>
      </c>
      <c r="B32" s="53">
        <v>530227</v>
      </c>
      <c r="C32" s="55" t="s">
        <v>270</v>
      </c>
      <c r="D32" s="181">
        <v>0</v>
      </c>
      <c r="E32" s="307">
        <v>0</v>
      </c>
      <c r="F32" s="307">
        <v>0</v>
      </c>
      <c r="G32" s="265">
        <v>0</v>
      </c>
      <c r="H32" s="311">
        <f t="shared" si="0"/>
        <v>-3000</v>
      </c>
      <c r="I32" s="311">
        <v>-3017</v>
      </c>
      <c r="J32" s="61">
        <v>17</v>
      </c>
      <c r="K32" s="313">
        <v>-5000000</v>
      </c>
    </row>
    <row r="33" spans="1:11">
      <c r="A33" s="294" t="s">
        <v>71</v>
      </c>
      <c r="B33" s="53">
        <v>530228</v>
      </c>
      <c r="C33" s="310" t="s">
        <v>271</v>
      </c>
      <c r="D33" s="181">
        <v>0</v>
      </c>
      <c r="E33" s="307">
        <v>0</v>
      </c>
      <c r="F33" s="307">
        <v>0</v>
      </c>
      <c r="G33" s="265">
        <v>0</v>
      </c>
      <c r="H33" s="311">
        <f t="shared" si="0"/>
        <v>-300</v>
      </c>
      <c r="I33" s="311">
        <v>-300</v>
      </c>
      <c r="J33" s="61">
        <v>0</v>
      </c>
      <c r="K33" s="313">
        <v>-900000</v>
      </c>
    </row>
    <row r="34" spans="1:11">
      <c r="A34" s="479" t="s">
        <v>34</v>
      </c>
      <c r="B34" s="480"/>
      <c r="C34" s="481"/>
      <c r="D34" s="84">
        <f t="shared" ref="D34:K34" si="1">SUM(D14:D33)</f>
        <v>412</v>
      </c>
      <c r="E34" s="84">
        <f t="shared" si="1"/>
        <v>412</v>
      </c>
      <c r="F34" s="84">
        <f t="shared" si="1"/>
        <v>0</v>
      </c>
      <c r="G34" s="185">
        <f t="shared" si="1"/>
        <v>971252</v>
      </c>
      <c r="H34" s="84">
        <f t="shared" si="1"/>
        <v>-68700</v>
      </c>
      <c r="I34" s="84">
        <f t="shared" si="1"/>
        <v>-68732</v>
      </c>
      <c r="J34" s="84">
        <f t="shared" si="1"/>
        <v>32</v>
      </c>
      <c r="K34" s="266">
        <f t="shared" si="1"/>
        <v>-150000000</v>
      </c>
    </row>
    <row r="36" spans="1:11">
      <c r="D36" s="111"/>
    </row>
  </sheetData>
  <mergeCells count="14">
    <mergeCell ref="A34:C34"/>
    <mergeCell ref="A5:L5"/>
    <mergeCell ref="D11:D12"/>
    <mergeCell ref="C10:C12"/>
    <mergeCell ref="B10:B12"/>
    <mergeCell ref="A10:A12"/>
    <mergeCell ref="A7:K7"/>
    <mergeCell ref="H10:K10"/>
    <mergeCell ref="H11:H12"/>
    <mergeCell ref="I11:J11"/>
    <mergeCell ref="K11:K12"/>
    <mergeCell ref="E11:F11"/>
    <mergeCell ref="G11:G12"/>
    <mergeCell ref="D10:G10"/>
  </mergeCells>
  <pageMargins left="0.78740157480314965" right="0.39370078740157483" top="0.39370078740157483" bottom="0.39370078740157483" header="0.31496062992125984" footer="0.31496062992125984"/>
  <pageSetup paperSize="9" scale="49" orientation="portrait" r:id="rId1"/>
  <ignoredErrors>
    <ignoredError sqref="E34:K35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  <pageSetUpPr fitToPage="1"/>
  </sheetPr>
  <dimension ref="A1:L29"/>
  <sheetViews>
    <sheetView zoomScale="80" zoomScaleNormal="80" workbookViewId="0">
      <pane xSplit="3" ySplit="8" topLeftCell="D9" activePane="bottomRight" state="frozen"/>
      <selection activeCell="J45" sqref="J45"/>
      <selection pane="topRight" activeCell="J45" sqref="J45"/>
      <selection pane="bottomLeft" activeCell="J45" sqref="J45"/>
      <selection pane="bottomRight" activeCell="G17" sqref="G17"/>
    </sheetView>
  </sheetViews>
  <sheetFormatPr defaultColWidth="10.28515625" defaultRowHeight="18.75"/>
  <cols>
    <col min="1" max="2" width="10.28515625" style="156"/>
    <col min="3" max="3" width="41.28515625" style="52" customWidth="1"/>
    <col min="4" max="4" width="15.42578125" style="52" customWidth="1"/>
    <col min="5" max="5" width="28.140625" style="58" customWidth="1"/>
    <col min="6" max="6" width="17.7109375" style="58" customWidth="1"/>
    <col min="7" max="7" width="21.42578125" style="58" customWidth="1"/>
    <col min="8" max="8" width="21.85546875" style="57" customWidth="1"/>
    <col min="9" max="16384" width="10.28515625" style="52"/>
  </cols>
  <sheetData>
    <row r="1" spans="1:8">
      <c r="E1" s="120"/>
      <c r="F1" s="120"/>
      <c r="G1" s="125" t="s">
        <v>159</v>
      </c>
      <c r="H1" s="125"/>
    </row>
    <row r="2" spans="1:8">
      <c r="G2" s="31" t="s">
        <v>157</v>
      </c>
      <c r="H2" s="31"/>
    </row>
    <row r="3" spans="1:8">
      <c r="E3" s="120"/>
      <c r="F3" s="120"/>
      <c r="G3" s="125" t="s">
        <v>237</v>
      </c>
      <c r="H3" s="125"/>
    </row>
    <row r="5" spans="1:8" ht="38.25" hidden="1" customHeight="1">
      <c r="A5" s="486" t="s">
        <v>144</v>
      </c>
      <c r="B5" s="486"/>
      <c r="C5" s="486"/>
      <c r="D5" s="486"/>
      <c r="E5" s="486"/>
      <c r="F5" s="486"/>
      <c r="G5" s="486"/>
      <c r="H5" s="486"/>
    </row>
    <row r="6" spans="1:8" ht="15" hidden="1" customHeight="1">
      <c r="A6" s="155"/>
      <c r="B6" s="155"/>
      <c r="C6" s="155"/>
      <c r="D6" s="155"/>
      <c r="E6" s="155"/>
      <c r="F6" s="155"/>
      <c r="G6" s="155"/>
      <c r="H6" s="155"/>
    </row>
    <row r="7" spans="1:8" ht="19.5" customHeight="1">
      <c r="A7" s="487" t="s">
        <v>214</v>
      </c>
      <c r="B7" s="487"/>
      <c r="C7" s="487"/>
      <c r="D7" s="487"/>
      <c r="E7" s="487"/>
      <c r="F7" s="487"/>
      <c r="G7" s="487"/>
      <c r="H7" s="187"/>
    </row>
    <row r="8" spans="1:8">
      <c r="A8" s="59"/>
      <c r="B8" s="59"/>
      <c r="C8" s="59"/>
      <c r="D8" s="59"/>
      <c r="E8" s="60"/>
      <c r="F8" s="60"/>
      <c r="G8" s="60"/>
      <c r="H8" s="59"/>
    </row>
    <row r="9" spans="1:8">
      <c r="A9" s="59"/>
      <c r="B9" s="59"/>
      <c r="C9" s="59"/>
      <c r="D9" s="59"/>
      <c r="E9" s="60"/>
      <c r="F9" s="60"/>
      <c r="G9" s="60"/>
      <c r="H9" s="59"/>
    </row>
    <row r="10" spans="1:8" ht="39.75" customHeight="1">
      <c r="A10" s="488" t="s">
        <v>35</v>
      </c>
      <c r="B10" s="488" t="s">
        <v>1</v>
      </c>
      <c r="C10" s="488" t="s">
        <v>135</v>
      </c>
      <c r="D10" s="460" t="s">
        <v>163</v>
      </c>
      <c r="E10" s="461"/>
      <c r="F10" s="462" t="s">
        <v>164</v>
      </c>
      <c r="G10" s="463"/>
      <c r="H10" s="59"/>
    </row>
    <row r="11" spans="1:8" ht="57" customHeight="1">
      <c r="A11" s="488"/>
      <c r="B11" s="488"/>
      <c r="C11" s="488"/>
      <c r="D11" s="236" t="s">
        <v>210</v>
      </c>
      <c r="E11" s="239" t="s">
        <v>37</v>
      </c>
      <c r="F11" s="236" t="s">
        <v>210</v>
      </c>
      <c r="G11" s="239" t="s">
        <v>37</v>
      </c>
    </row>
    <row r="12" spans="1:8">
      <c r="A12" s="188">
        <v>1</v>
      </c>
      <c r="B12" s="188">
        <v>2</v>
      </c>
      <c r="C12" s="188">
        <v>3</v>
      </c>
      <c r="D12" s="188">
        <v>4</v>
      </c>
      <c r="E12" s="188">
        <v>5</v>
      </c>
      <c r="F12" s="188">
        <v>6</v>
      </c>
      <c r="G12" s="188">
        <v>7</v>
      </c>
    </row>
    <row r="13" spans="1:8">
      <c r="A13" s="53">
        <v>1</v>
      </c>
      <c r="B13" s="53">
        <v>530011</v>
      </c>
      <c r="C13" s="314" t="s">
        <v>254</v>
      </c>
      <c r="D13" s="61">
        <v>0</v>
      </c>
      <c r="E13" s="184">
        <v>0</v>
      </c>
      <c r="F13" s="61">
        <v>445</v>
      </c>
      <c r="G13" s="313">
        <v>278444</v>
      </c>
    </row>
    <row r="14" spans="1:8">
      <c r="A14" s="53">
        <v>2</v>
      </c>
      <c r="B14" s="53">
        <v>530024</v>
      </c>
      <c r="C14" s="315" t="s">
        <v>256</v>
      </c>
      <c r="D14" s="61">
        <v>0</v>
      </c>
      <c r="E14" s="184">
        <v>0</v>
      </c>
      <c r="F14" s="61">
        <v>76</v>
      </c>
      <c r="G14" s="313">
        <v>58996</v>
      </c>
    </row>
    <row r="15" spans="1:8">
      <c r="A15" s="53">
        <v>3</v>
      </c>
      <c r="B15" s="53">
        <v>530026</v>
      </c>
      <c r="C15" s="315" t="s">
        <v>258</v>
      </c>
      <c r="D15" s="61">
        <v>0</v>
      </c>
      <c r="E15" s="184">
        <v>0</v>
      </c>
      <c r="F15" s="61">
        <v>-175</v>
      </c>
      <c r="G15" s="313">
        <v>-141441</v>
      </c>
    </row>
    <row r="16" spans="1:8">
      <c r="A16" s="53">
        <v>4</v>
      </c>
      <c r="B16" s="53">
        <v>530037</v>
      </c>
      <c r="C16" s="315" t="s">
        <v>20</v>
      </c>
      <c r="D16" s="61">
        <v>0</v>
      </c>
      <c r="E16" s="184">
        <v>0</v>
      </c>
      <c r="F16" s="61">
        <v>5</v>
      </c>
      <c r="G16" s="313">
        <v>4361</v>
      </c>
    </row>
    <row r="17" spans="1:12">
      <c r="A17" s="53">
        <v>5</v>
      </c>
      <c r="B17" s="53">
        <v>530042</v>
      </c>
      <c r="C17" s="315" t="s">
        <v>263</v>
      </c>
      <c r="D17" s="61">
        <v>0</v>
      </c>
      <c r="E17" s="184">
        <v>0</v>
      </c>
      <c r="F17" s="61">
        <v>250</v>
      </c>
      <c r="G17" s="313">
        <v>211168</v>
      </c>
    </row>
    <row r="18" spans="1:12">
      <c r="A18" s="53">
        <v>6</v>
      </c>
      <c r="B18" s="304">
        <v>530225</v>
      </c>
      <c r="C18" s="315" t="s">
        <v>269</v>
      </c>
      <c r="D18" s="61">
        <v>0</v>
      </c>
      <c r="E18" s="184">
        <v>0</v>
      </c>
      <c r="F18" s="61">
        <v>-229</v>
      </c>
      <c r="G18" s="313">
        <v>-290372</v>
      </c>
    </row>
    <row r="19" spans="1:12" ht="37.5" customHeight="1">
      <c r="A19" s="181">
        <v>7</v>
      </c>
      <c r="B19" s="307">
        <v>530226</v>
      </c>
      <c r="C19" s="316" t="s">
        <v>31</v>
      </c>
      <c r="D19" s="61">
        <v>150</v>
      </c>
      <c r="E19" s="184">
        <v>120000</v>
      </c>
      <c r="F19" s="61">
        <v>150</v>
      </c>
      <c r="G19" s="313">
        <v>120000</v>
      </c>
    </row>
    <row r="20" spans="1:12">
      <c r="A20" s="53">
        <v>8</v>
      </c>
      <c r="B20" s="53">
        <v>530227</v>
      </c>
      <c r="C20" s="315" t="s">
        <v>270</v>
      </c>
      <c r="D20" s="61">
        <v>0</v>
      </c>
      <c r="E20" s="184">
        <v>0</v>
      </c>
      <c r="F20" s="61">
        <v>-183</v>
      </c>
      <c r="G20" s="313">
        <v>-241156</v>
      </c>
    </row>
    <row r="21" spans="1:12">
      <c r="A21" s="479" t="s">
        <v>34</v>
      </c>
      <c r="B21" s="480"/>
      <c r="C21" s="481"/>
      <c r="D21" s="84">
        <f>SUM(D13:D20)</f>
        <v>150</v>
      </c>
      <c r="E21" s="185">
        <f t="shared" ref="E21:G21" si="0">SUM(E13:E20)</f>
        <v>120000</v>
      </c>
      <c r="F21" s="84">
        <f t="shared" si="0"/>
        <v>339</v>
      </c>
      <c r="G21" s="266">
        <f t="shared" si="0"/>
        <v>0</v>
      </c>
    </row>
    <row r="29" spans="1:12" s="58" customFormat="1">
      <c r="A29" s="156"/>
      <c r="B29" s="156"/>
      <c r="C29" s="52"/>
      <c r="D29" s="111"/>
      <c r="H29" s="57"/>
      <c r="I29" s="52"/>
      <c r="J29" s="52"/>
      <c r="K29" s="52"/>
      <c r="L29" s="52"/>
    </row>
  </sheetData>
  <mergeCells count="8">
    <mergeCell ref="A21:C21"/>
    <mergeCell ref="A5:H5"/>
    <mergeCell ref="A7:G7"/>
    <mergeCell ref="A10:A11"/>
    <mergeCell ref="B10:B11"/>
    <mergeCell ref="C10:C11"/>
    <mergeCell ref="D10:E10"/>
    <mergeCell ref="F10:G10"/>
  </mergeCells>
  <pageMargins left="0.78740157480314965" right="0.39370078740157483" top="0.39370078740157483" bottom="0.39370078740157483" header="0.31496062992125984" footer="0.31496062992125984"/>
  <pageSetup paperSize="9" scale="62" orientation="portrait" r:id="rId1"/>
  <ignoredErrors>
    <ignoredError sqref="D21:G2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  <pageSetUpPr fitToPage="1"/>
  </sheetPr>
  <dimension ref="A1:G80"/>
  <sheetViews>
    <sheetView topLeftCell="A4" zoomScale="80" zoomScaleNormal="80" workbookViewId="0">
      <selection activeCell="G13" sqref="G13"/>
    </sheetView>
  </sheetViews>
  <sheetFormatPr defaultRowHeight="15"/>
  <cols>
    <col min="1" max="1" width="7.7109375" customWidth="1"/>
    <col min="2" max="2" width="10.42578125" customWidth="1"/>
    <col min="3" max="3" width="44.42578125" customWidth="1"/>
    <col min="4" max="4" width="16.5703125" customWidth="1"/>
    <col min="5" max="5" width="22.5703125" style="85" customWidth="1"/>
    <col min="6" max="6" width="17.140625" customWidth="1"/>
    <col min="7" max="7" width="16.140625" customWidth="1"/>
  </cols>
  <sheetData>
    <row r="1" spans="1:7" ht="18.75">
      <c r="D1" s="105"/>
      <c r="E1" s="32"/>
      <c r="F1" s="32"/>
      <c r="G1" s="125" t="s">
        <v>229</v>
      </c>
    </row>
    <row r="2" spans="1:7" ht="18.75">
      <c r="D2" s="103"/>
      <c r="E2" s="32"/>
      <c r="F2" s="32"/>
      <c r="G2" s="31" t="s">
        <v>157</v>
      </c>
    </row>
    <row r="3" spans="1:7" ht="18.75">
      <c r="C3" s="104"/>
      <c r="D3" s="106"/>
      <c r="E3" s="32"/>
      <c r="F3" s="32"/>
      <c r="G3" s="125" t="s">
        <v>237</v>
      </c>
    </row>
    <row r="4" spans="1:7" ht="17.25" customHeight="1"/>
    <row r="5" spans="1:7" ht="36.75" hidden="1" customHeight="1">
      <c r="A5" s="486" t="s">
        <v>144</v>
      </c>
      <c r="B5" s="486"/>
      <c r="C5" s="486"/>
      <c r="D5" s="486"/>
      <c r="E5" s="486"/>
    </row>
    <row r="6" spans="1:7" ht="15.75" hidden="1" customHeight="1">
      <c r="A6" s="62"/>
      <c r="B6" s="62"/>
      <c r="C6" s="62"/>
      <c r="D6" s="62"/>
      <c r="E6" s="86"/>
    </row>
    <row r="7" spans="1:7" ht="18" customHeight="1">
      <c r="A7" s="498" t="s">
        <v>139</v>
      </c>
      <c r="B7" s="498"/>
      <c r="C7" s="498"/>
      <c r="D7" s="498"/>
      <c r="E7" s="498"/>
      <c r="F7" s="498"/>
      <c r="G7" s="498"/>
    </row>
    <row r="9" spans="1:7" ht="55.5" customHeight="1">
      <c r="A9" s="499" t="s">
        <v>35</v>
      </c>
      <c r="B9" s="499" t="s">
        <v>1</v>
      </c>
      <c r="C9" s="499" t="s">
        <v>135</v>
      </c>
      <c r="D9" s="477" t="s">
        <v>163</v>
      </c>
      <c r="E9" s="477"/>
      <c r="F9" s="490" t="s">
        <v>164</v>
      </c>
      <c r="G9" s="490"/>
    </row>
    <row r="10" spans="1:7" ht="56.25" customHeight="1">
      <c r="A10" s="500"/>
      <c r="B10" s="500"/>
      <c r="C10" s="500"/>
      <c r="D10" s="237" t="s">
        <v>3</v>
      </c>
      <c r="E10" s="237" t="s">
        <v>37</v>
      </c>
      <c r="F10" s="237" t="s">
        <v>3</v>
      </c>
      <c r="G10" s="237" t="s">
        <v>37</v>
      </c>
    </row>
    <row r="11" spans="1:7" ht="18.75">
      <c r="A11" s="63">
        <v>1</v>
      </c>
      <c r="B11" s="64">
        <v>2</v>
      </c>
      <c r="C11" s="64">
        <v>3</v>
      </c>
      <c r="D11" s="164">
        <v>4</v>
      </c>
      <c r="E11" s="165">
        <v>5</v>
      </c>
      <c r="F11" s="165">
        <v>6</v>
      </c>
      <c r="G11" s="165">
        <v>7</v>
      </c>
    </row>
    <row r="12" spans="1:7" ht="18.75">
      <c r="A12" s="89">
        <v>1</v>
      </c>
      <c r="B12" s="115">
        <v>530011</v>
      </c>
      <c r="C12" s="54" t="s">
        <v>173</v>
      </c>
      <c r="D12" s="87">
        <v>0</v>
      </c>
      <c r="E12" s="121">
        <v>0</v>
      </c>
      <c r="F12" s="87">
        <v>-700</v>
      </c>
      <c r="G12" s="121">
        <v>-259999.89</v>
      </c>
    </row>
    <row r="13" spans="1:7" ht="18.75">
      <c r="A13" s="89">
        <v>2</v>
      </c>
      <c r="B13" s="115">
        <v>530227</v>
      </c>
      <c r="C13" s="55" t="s">
        <v>200</v>
      </c>
      <c r="D13" s="87">
        <v>700</v>
      </c>
      <c r="E13" s="121">
        <v>259999.88999999966</v>
      </c>
      <c r="F13" s="87">
        <v>700</v>
      </c>
      <c r="G13" s="121">
        <v>259999.88999999966</v>
      </c>
    </row>
    <row r="14" spans="1:7" ht="18.75">
      <c r="A14" s="479" t="s">
        <v>34</v>
      </c>
      <c r="B14" s="480"/>
      <c r="C14" s="481"/>
      <c r="D14" s="88">
        <f>SUM(D12:D13)</f>
        <v>700</v>
      </c>
      <c r="E14" s="122">
        <f>SUM(E12:E13)</f>
        <v>259999.88999999966</v>
      </c>
      <c r="F14" s="88">
        <f>SUM(F12:F13)</f>
        <v>0</v>
      </c>
      <c r="G14" s="122">
        <v>0</v>
      </c>
    </row>
    <row r="16" spans="1:7">
      <c r="E16"/>
    </row>
    <row r="17" spans="5:5">
      <c r="E17"/>
    </row>
    <row r="18" spans="5:5">
      <c r="E18"/>
    </row>
    <row r="80" spans="4:4">
      <c r="D80" s="110"/>
    </row>
  </sheetData>
  <mergeCells count="8">
    <mergeCell ref="A14:C14"/>
    <mergeCell ref="F9:G9"/>
    <mergeCell ref="A7:G7"/>
    <mergeCell ref="A5:E5"/>
    <mergeCell ref="A9:A10"/>
    <mergeCell ref="B9:B10"/>
    <mergeCell ref="C9:C10"/>
    <mergeCell ref="D9:E9"/>
  </mergeCells>
  <pageMargins left="0.78740157480314965" right="0.39370078740157483" top="0.39370078740157483" bottom="0.39370078740157483" header="0.31496062992125984" footer="0.31496062992125984"/>
  <pageSetup paperSize="9" scale="66" orientation="portrait" r:id="rId1"/>
  <ignoredErrors>
    <ignoredError sqref="D14:F14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  <pageSetUpPr fitToPage="1"/>
  </sheetPr>
  <dimension ref="A1:M70"/>
  <sheetViews>
    <sheetView zoomScale="80" zoomScaleNormal="80" workbookViewId="0">
      <pane xSplit="4" ySplit="11" topLeftCell="E46" activePane="bottomRight" state="frozen"/>
      <selection pane="topRight" activeCell="E1" sqref="E1"/>
      <selection pane="bottomLeft" activeCell="A11" sqref="A11"/>
      <selection pane="bottomRight" activeCell="H54" sqref="H54"/>
    </sheetView>
  </sheetViews>
  <sheetFormatPr defaultRowHeight="18.75"/>
  <cols>
    <col min="1" max="1" width="6.7109375" style="69" customWidth="1"/>
    <col min="2" max="2" width="10.140625" style="223" customWidth="1"/>
    <col min="3" max="3" width="11" style="46" customWidth="1"/>
    <col min="4" max="4" width="51.5703125" style="43" customWidth="1"/>
    <col min="5" max="5" width="17.5703125" style="140" customWidth="1"/>
    <col min="6" max="6" width="17" style="141" customWidth="1"/>
    <col min="7" max="7" width="17.5703125" style="140" customWidth="1"/>
    <col min="8" max="8" width="18.140625" style="141" customWidth="1"/>
    <col min="9" max="12" width="14.5703125" style="43" customWidth="1"/>
    <col min="13" max="13" width="14.5703125" style="245" customWidth="1"/>
    <col min="14" max="830" width="14.5703125" style="43" customWidth="1"/>
    <col min="831" max="16384" width="9.140625" style="43"/>
  </cols>
  <sheetData>
    <row r="1" spans="1:13" s="32" customFormat="1">
      <c r="A1" s="124"/>
      <c r="B1" s="123"/>
      <c r="C1" s="29"/>
      <c r="E1" s="225"/>
      <c r="F1" s="226"/>
      <c r="G1" s="225"/>
      <c r="H1" s="217" t="s">
        <v>230</v>
      </c>
      <c r="I1" s="125"/>
      <c r="M1" s="244"/>
    </row>
    <row r="2" spans="1:13" s="32" customFormat="1">
      <c r="A2" s="124"/>
      <c r="B2" s="123"/>
      <c r="C2" s="29"/>
      <c r="E2" s="225"/>
      <c r="F2" s="226"/>
      <c r="G2" s="225"/>
      <c r="H2" s="218" t="s">
        <v>157</v>
      </c>
      <c r="I2" s="31"/>
      <c r="M2" s="244"/>
    </row>
    <row r="3" spans="1:13" s="32" customFormat="1">
      <c r="A3" s="124"/>
      <c r="B3" s="123"/>
      <c r="C3" s="29"/>
      <c r="E3" s="225"/>
      <c r="F3" s="501" t="s">
        <v>245</v>
      </c>
      <c r="G3" s="501"/>
      <c r="H3" s="501"/>
      <c r="I3" s="125"/>
      <c r="M3" s="244"/>
    </row>
    <row r="4" spans="1:13" ht="15" customHeight="1">
      <c r="A4" s="101"/>
      <c r="B4" s="45"/>
      <c r="D4" s="34"/>
      <c r="E4" s="143"/>
      <c r="F4" s="144"/>
    </row>
    <row r="5" spans="1:13" ht="54.75" hidden="1" customHeight="1">
      <c r="A5" s="454" t="s">
        <v>146</v>
      </c>
      <c r="B5" s="454"/>
      <c r="C5" s="454"/>
      <c r="D5" s="454"/>
      <c r="E5" s="454"/>
      <c r="F5" s="454"/>
    </row>
    <row r="6" spans="1:13" ht="12" hidden="1" customHeight="1">
      <c r="A6" s="154"/>
      <c r="B6" s="154"/>
      <c r="C6" s="67"/>
      <c r="D6" s="67"/>
      <c r="E6" s="197"/>
      <c r="F6" s="227"/>
    </row>
    <row r="7" spans="1:13" ht="19.5" customHeight="1">
      <c r="A7" s="502" t="s">
        <v>221</v>
      </c>
      <c r="B7" s="502"/>
      <c r="C7" s="502"/>
      <c r="D7" s="502"/>
      <c r="E7" s="502"/>
      <c r="F7" s="502"/>
      <c r="G7" s="502"/>
      <c r="H7" s="502"/>
    </row>
    <row r="8" spans="1:13" ht="15" customHeight="1">
      <c r="D8" s="34"/>
      <c r="E8" s="143"/>
      <c r="F8" s="144"/>
    </row>
    <row r="9" spans="1:13" s="47" customFormat="1" ht="81.75" customHeight="1">
      <c r="A9" s="477" t="s">
        <v>35</v>
      </c>
      <c r="B9" s="477" t="s">
        <v>1</v>
      </c>
      <c r="C9" s="477" t="s">
        <v>2</v>
      </c>
      <c r="D9" s="477" t="s">
        <v>145</v>
      </c>
      <c r="E9" s="460" t="s">
        <v>163</v>
      </c>
      <c r="F9" s="461"/>
      <c r="G9" s="462" t="s">
        <v>164</v>
      </c>
      <c r="H9" s="463"/>
      <c r="M9" s="246"/>
    </row>
    <row r="10" spans="1:13" s="47" customFormat="1" ht="66" customHeight="1">
      <c r="A10" s="477"/>
      <c r="B10" s="477"/>
      <c r="C10" s="477"/>
      <c r="D10" s="477"/>
      <c r="E10" s="282" t="s">
        <v>3</v>
      </c>
      <c r="F10" s="228" t="s">
        <v>37</v>
      </c>
      <c r="G10" s="282" t="s">
        <v>3</v>
      </c>
      <c r="H10" s="228" t="s">
        <v>37</v>
      </c>
      <c r="M10" s="246"/>
    </row>
    <row r="11" spans="1:13" s="47" customFormat="1">
      <c r="A11" s="48">
        <v>1</v>
      </c>
      <c r="B11" s="49">
        <v>2</v>
      </c>
      <c r="C11" s="49">
        <v>3</v>
      </c>
      <c r="D11" s="49">
        <v>4</v>
      </c>
      <c r="E11" s="49">
        <v>5</v>
      </c>
      <c r="F11" s="49">
        <v>6</v>
      </c>
      <c r="G11" s="49">
        <v>7</v>
      </c>
      <c r="H11" s="49">
        <v>8</v>
      </c>
      <c r="M11" s="246"/>
    </row>
    <row r="12" spans="1:13">
      <c r="A12" s="114">
        <v>1</v>
      </c>
      <c r="B12" s="114">
        <v>530001</v>
      </c>
      <c r="C12" s="50" t="s">
        <v>165</v>
      </c>
      <c r="D12" s="127" t="s">
        <v>166</v>
      </c>
      <c r="E12" s="128">
        <f>E13</f>
        <v>0</v>
      </c>
      <c r="F12" s="129">
        <f t="shared" ref="F12:H12" si="0">F13</f>
        <v>172</v>
      </c>
      <c r="G12" s="128">
        <f t="shared" si="0"/>
        <v>0</v>
      </c>
      <c r="H12" s="129">
        <f t="shared" si="0"/>
        <v>172</v>
      </c>
    </row>
    <row r="13" spans="1:13">
      <c r="A13" s="283"/>
      <c r="B13" s="113">
        <v>530001</v>
      </c>
      <c r="C13" s="83">
        <v>100</v>
      </c>
      <c r="D13" s="65" t="s">
        <v>14</v>
      </c>
      <c r="E13" s="51">
        <v>0</v>
      </c>
      <c r="F13" s="130">
        <v>172</v>
      </c>
      <c r="G13" s="51">
        <v>0</v>
      </c>
      <c r="H13" s="130">
        <v>172</v>
      </c>
      <c r="J13" s="140"/>
    </row>
    <row r="14" spans="1:13">
      <c r="A14" s="114">
        <v>2</v>
      </c>
      <c r="B14" s="114">
        <v>530002</v>
      </c>
      <c r="C14" s="50" t="s">
        <v>165</v>
      </c>
      <c r="D14" s="127" t="s">
        <v>169</v>
      </c>
      <c r="E14" s="128">
        <f>E15</f>
        <v>1285</v>
      </c>
      <c r="F14" s="129">
        <f t="shared" ref="F14:H14" si="1">F15</f>
        <v>1087110</v>
      </c>
      <c r="G14" s="128">
        <f t="shared" si="1"/>
        <v>1285</v>
      </c>
      <c r="H14" s="129">
        <f t="shared" si="1"/>
        <v>1087110</v>
      </c>
      <c r="J14" s="140"/>
    </row>
    <row r="15" spans="1:13">
      <c r="A15" s="283"/>
      <c r="B15" s="113">
        <v>530002</v>
      </c>
      <c r="C15" s="83">
        <v>68</v>
      </c>
      <c r="D15" s="65" t="s">
        <v>13</v>
      </c>
      <c r="E15" s="51">
        <v>1285</v>
      </c>
      <c r="F15" s="130">
        <v>1087110</v>
      </c>
      <c r="G15" s="51">
        <v>1285</v>
      </c>
      <c r="H15" s="130">
        <v>1087110</v>
      </c>
      <c r="J15" s="140"/>
    </row>
    <row r="16" spans="1:13">
      <c r="A16" s="114">
        <v>3</v>
      </c>
      <c r="B16" s="210">
        <v>530011</v>
      </c>
      <c r="C16" s="50" t="s">
        <v>165</v>
      </c>
      <c r="D16" s="127" t="s">
        <v>173</v>
      </c>
      <c r="E16" s="128">
        <f>SUM(E17:E21)</f>
        <v>2000</v>
      </c>
      <c r="F16" s="129" t="s">
        <v>174</v>
      </c>
      <c r="G16" s="128">
        <f>SUM(G17:G21)</f>
        <v>2000</v>
      </c>
      <c r="H16" s="129" t="s">
        <v>174</v>
      </c>
      <c r="J16" s="140"/>
    </row>
    <row r="17" spans="1:10">
      <c r="A17" s="462"/>
      <c r="B17" s="112">
        <v>530011</v>
      </c>
      <c r="C17" s="107">
        <v>42</v>
      </c>
      <c r="D17" s="65" t="s">
        <v>89</v>
      </c>
      <c r="E17" s="51">
        <v>300</v>
      </c>
      <c r="F17" s="130" t="s">
        <v>174</v>
      </c>
      <c r="G17" s="51">
        <v>300</v>
      </c>
      <c r="H17" s="130" t="s">
        <v>174</v>
      </c>
      <c r="J17" s="140"/>
    </row>
    <row r="18" spans="1:10" ht="37.5">
      <c r="A18" s="462"/>
      <c r="B18" s="212">
        <v>530011</v>
      </c>
      <c r="C18" s="107">
        <v>57</v>
      </c>
      <c r="D18" s="65" t="s">
        <v>15</v>
      </c>
      <c r="E18" s="51">
        <v>-80</v>
      </c>
      <c r="F18" s="130" t="s">
        <v>174</v>
      </c>
      <c r="G18" s="51">
        <v>-80</v>
      </c>
      <c r="H18" s="130" t="s">
        <v>174</v>
      </c>
      <c r="J18" s="140"/>
    </row>
    <row r="19" spans="1:10">
      <c r="A19" s="462"/>
      <c r="B19" s="212">
        <v>530011</v>
      </c>
      <c r="C19" s="107" t="s">
        <v>84</v>
      </c>
      <c r="D19" s="65" t="s">
        <v>85</v>
      </c>
      <c r="E19" s="51">
        <v>-300</v>
      </c>
      <c r="F19" s="130" t="s">
        <v>174</v>
      </c>
      <c r="G19" s="51">
        <v>-300</v>
      </c>
      <c r="H19" s="130" t="s">
        <v>174</v>
      </c>
      <c r="J19" s="140"/>
    </row>
    <row r="20" spans="1:10">
      <c r="A20" s="462"/>
      <c r="B20" s="212">
        <v>530011</v>
      </c>
      <c r="C20" s="107">
        <v>97</v>
      </c>
      <c r="D20" s="65" t="s">
        <v>16</v>
      </c>
      <c r="E20" s="51">
        <v>1000</v>
      </c>
      <c r="F20" s="130" t="s">
        <v>174</v>
      </c>
      <c r="G20" s="51">
        <v>1000</v>
      </c>
      <c r="H20" s="130" t="s">
        <v>174</v>
      </c>
      <c r="J20" s="140"/>
    </row>
    <row r="21" spans="1:10">
      <c r="A21" s="462"/>
      <c r="B21" s="213">
        <v>530011</v>
      </c>
      <c r="C21" s="107">
        <v>100</v>
      </c>
      <c r="D21" s="65" t="s">
        <v>14</v>
      </c>
      <c r="E21" s="51">
        <v>1080</v>
      </c>
      <c r="F21" s="130" t="s">
        <v>174</v>
      </c>
      <c r="G21" s="51">
        <v>1080</v>
      </c>
      <c r="H21" s="130" t="s">
        <v>174</v>
      </c>
      <c r="J21" s="140"/>
    </row>
    <row r="22" spans="1:10">
      <c r="A22" s="114">
        <v>4</v>
      </c>
      <c r="B22" s="214">
        <v>530026</v>
      </c>
      <c r="C22" s="50" t="s">
        <v>165</v>
      </c>
      <c r="D22" s="127" t="s">
        <v>177</v>
      </c>
      <c r="E22" s="128">
        <f>SUM(E23:E24)</f>
        <v>0</v>
      </c>
      <c r="F22" s="172" t="s">
        <v>174</v>
      </c>
      <c r="G22" s="128">
        <f>SUM(G23:G24)</f>
        <v>0</v>
      </c>
      <c r="H22" s="172" t="s">
        <v>174</v>
      </c>
      <c r="J22" s="140"/>
    </row>
    <row r="23" spans="1:10" ht="37.5">
      <c r="A23" s="462"/>
      <c r="B23" s="279"/>
      <c r="C23" s="107">
        <v>57</v>
      </c>
      <c r="D23" s="65" t="s">
        <v>15</v>
      </c>
      <c r="E23" s="51">
        <v>-5</v>
      </c>
      <c r="F23" s="130" t="s">
        <v>174</v>
      </c>
      <c r="G23" s="51">
        <v>-5</v>
      </c>
      <c r="H23" s="130" t="s">
        <v>174</v>
      </c>
      <c r="J23" s="140"/>
    </row>
    <row r="24" spans="1:10">
      <c r="A24" s="462"/>
      <c r="B24" s="280"/>
      <c r="C24" s="107">
        <v>68</v>
      </c>
      <c r="D24" s="65" t="s">
        <v>13</v>
      </c>
      <c r="E24" s="51">
        <v>5</v>
      </c>
      <c r="F24" s="130" t="s">
        <v>174</v>
      </c>
      <c r="G24" s="51">
        <v>5</v>
      </c>
      <c r="H24" s="130" t="s">
        <v>174</v>
      </c>
      <c r="J24" s="140"/>
    </row>
    <row r="25" spans="1:10">
      <c r="A25" s="114">
        <v>5</v>
      </c>
      <c r="B25" s="214">
        <v>530032</v>
      </c>
      <c r="C25" s="50" t="s">
        <v>165</v>
      </c>
      <c r="D25" s="127" t="s">
        <v>179</v>
      </c>
      <c r="E25" s="128">
        <f>SUM(E26:E38)</f>
        <v>476</v>
      </c>
      <c r="F25" s="129" t="s">
        <v>174</v>
      </c>
      <c r="G25" s="128">
        <f>SUM(G26:G38)</f>
        <v>476</v>
      </c>
      <c r="H25" s="129" t="s">
        <v>174</v>
      </c>
      <c r="J25" s="140"/>
    </row>
    <row r="26" spans="1:10">
      <c r="A26" s="462"/>
      <c r="B26" s="112">
        <v>530032</v>
      </c>
      <c r="C26" s="107">
        <v>42</v>
      </c>
      <c r="D26" s="65" t="s">
        <v>89</v>
      </c>
      <c r="E26" s="51">
        <v>362</v>
      </c>
      <c r="F26" s="130" t="s">
        <v>174</v>
      </c>
      <c r="G26" s="51">
        <v>362</v>
      </c>
      <c r="H26" s="130" t="s">
        <v>174</v>
      </c>
      <c r="J26" s="140"/>
    </row>
    <row r="27" spans="1:10" ht="37.5">
      <c r="A27" s="462"/>
      <c r="B27" s="212">
        <v>530032</v>
      </c>
      <c r="C27" s="107">
        <v>57</v>
      </c>
      <c r="D27" s="65" t="s">
        <v>15</v>
      </c>
      <c r="E27" s="51">
        <v>2</v>
      </c>
      <c r="F27" s="130" t="s">
        <v>174</v>
      </c>
      <c r="G27" s="51">
        <v>2</v>
      </c>
      <c r="H27" s="130" t="s">
        <v>174</v>
      </c>
      <c r="J27" s="140"/>
    </row>
    <row r="28" spans="1:10">
      <c r="A28" s="462"/>
      <c r="B28" s="212">
        <v>530032</v>
      </c>
      <c r="C28" s="107">
        <v>65</v>
      </c>
      <c r="D28" s="65" t="s">
        <v>27</v>
      </c>
      <c r="E28" s="51">
        <v>-8</v>
      </c>
      <c r="F28" s="130" t="s">
        <v>174</v>
      </c>
      <c r="G28" s="51">
        <v>-8</v>
      </c>
      <c r="H28" s="130" t="s">
        <v>174</v>
      </c>
      <c r="J28" s="140"/>
    </row>
    <row r="29" spans="1:10">
      <c r="A29" s="462"/>
      <c r="B29" s="212">
        <v>530032</v>
      </c>
      <c r="C29" s="107">
        <v>68</v>
      </c>
      <c r="D29" s="65" t="s">
        <v>13</v>
      </c>
      <c r="E29" s="51">
        <v>-174</v>
      </c>
      <c r="F29" s="130" t="s">
        <v>174</v>
      </c>
      <c r="G29" s="51">
        <v>-174</v>
      </c>
      <c r="H29" s="130" t="s">
        <v>174</v>
      </c>
      <c r="J29" s="140"/>
    </row>
    <row r="30" spans="1:10">
      <c r="A30" s="462"/>
      <c r="B30" s="212">
        <v>530032</v>
      </c>
      <c r="C30" s="107" t="s">
        <v>84</v>
      </c>
      <c r="D30" s="65" t="s">
        <v>85</v>
      </c>
      <c r="E30" s="51">
        <v>-22</v>
      </c>
      <c r="F30" s="130" t="s">
        <v>174</v>
      </c>
      <c r="G30" s="51">
        <v>-22</v>
      </c>
      <c r="H30" s="130" t="s">
        <v>174</v>
      </c>
      <c r="J30" s="140"/>
    </row>
    <row r="31" spans="1:10">
      <c r="A31" s="462"/>
      <c r="B31" s="212">
        <v>530032</v>
      </c>
      <c r="C31" s="107" t="s">
        <v>74</v>
      </c>
      <c r="D31" s="65" t="s">
        <v>75</v>
      </c>
      <c r="E31" s="51">
        <v>-27</v>
      </c>
      <c r="F31" s="130" t="s">
        <v>174</v>
      </c>
      <c r="G31" s="51">
        <v>-27</v>
      </c>
      <c r="H31" s="130" t="s">
        <v>174</v>
      </c>
      <c r="J31" s="140"/>
    </row>
    <row r="32" spans="1:10">
      <c r="A32" s="462"/>
      <c r="B32" s="212">
        <v>530032</v>
      </c>
      <c r="C32" s="107" t="s">
        <v>80</v>
      </c>
      <c r="D32" s="65" t="s">
        <v>81</v>
      </c>
      <c r="E32" s="51">
        <v>7</v>
      </c>
      <c r="F32" s="130" t="s">
        <v>174</v>
      </c>
      <c r="G32" s="51">
        <v>7</v>
      </c>
      <c r="H32" s="130" t="s">
        <v>174</v>
      </c>
      <c r="J32" s="140"/>
    </row>
    <row r="33" spans="1:10">
      <c r="A33" s="462"/>
      <c r="B33" s="212">
        <v>530032</v>
      </c>
      <c r="C33" s="107" t="s">
        <v>82</v>
      </c>
      <c r="D33" s="65" t="s">
        <v>83</v>
      </c>
      <c r="E33" s="51">
        <v>71</v>
      </c>
      <c r="F33" s="130" t="s">
        <v>174</v>
      </c>
      <c r="G33" s="51">
        <v>71</v>
      </c>
      <c r="H33" s="130" t="s">
        <v>174</v>
      </c>
      <c r="J33" s="140"/>
    </row>
    <row r="34" spans="1:10">
      <c r="A34" s="462"/>
      <c r="B34" s="212">
        <v>530032</v>
      </c>
      <c r="C34" s="107">
        <v>97</v>
      </c>
      <c r="D34" s="65" t="s">
        <v>16</v>
      </c>
      <c r="E34" s="51">
        <v>157</v>
      </c>
      <c r="F34" s="130" t="s">
        <v>174</v>
      </c>
      <c r="G34" s="51">
        <v>157</v>
      </c>
      <c r="H34" s="130" t="s">
        <v>174</v>
      </c>
      <c r="J34" s="140"/>
    </row>
    <row r="35" spans="1:10">
      <c r="A35" s="462"/>
      <c r="B35" s="212">
        <v>530032</v>
      </c>
      <c r="C35" s="107">
        <v>100</v>
      </c>
      <c r="D35" s="65" t="s">
        <v>14</v>
      </c>
      <c r="E35" s="51">
        <v>57</v>
      </c>
      <c r="F35" s="130" t="s">
        <v>174</v>
      </c>
      <c r="G35" s="51">
        <v>57</v>
      </c>
      <c r="H35" s="130" t="s">
        <v>174</v>
      </c>
      <c r="J35" s="140"/>
    </row>
    <row r="36" spans="1:10">
      <c r="A36" s="462"/>
      <c r="B36" s="212">
        <v>530032</v>
      </c>
      <c r="C36" s="107">
        <v>112</v>
      </c>
      <c r="D36" s="65" t="s">
        <v>17</v>
      </c>
      <c r="E36" s="51">
        <v>22</v>
      </c>
      <c r="F36" s="130" t="s">
        <v>174</v>
      </c>
      <c r="G36" s="51">
        <v>22</v>
      </c>
      <c r="H36" s="130" t="s">
        <v>174</v>
      </c>
      <c r="J36" s="140"/>
    </row>
    <row r="37" spans="1:10">
      <c r="A37" s="462"/>
      <c r="B37" s="212">
        <v>530032</v>
      </c>
      <c r="C37" s="107">
        <v>136</v>
      </c>
      <c r="D37" s="65" t="s">
        <v>18</v>
      </c>
      <c r="E37" s="51">
        <v>-5</v>
      </c>
      <c r="F37" s="130" t="s">
        <v>174</v>
      </c>
      <c r="G37" s="51">
        <v>-5</v>
      </c>
      <c r="H37" s="130" t="s">
        <v>174</v>
      </c>
      <c r="J37" s="140"/>
    </row>
    <row r="38" spans="1:10">
      <c r="A38" s="462"/>
      <c r="B38" s="213">
        <v>530032</v>
      </c>
      <c r="C38" s="107">
        <v>162</v>
      </c>
      <c r="D38" s="65" t="s">
        <v>19</v>
      </c>
      <c r="E38" s="51">
        <v>34</v>
      </c>
      <c r="F38" s="130" t="s">
        <v>174</v>
      </c>
      <c r="G38" s="51">
        <v>34</v>
      </c>
      <c r="H38" s="130" t="s">
        <v>174</v>
      </c>
      <c r="J38" s="140"/>
    </row>
    <row r="39" spans="1:10">
      <c r="A39" s="114">
        <v>6</v>
      </c>
      <c r="B39" s="214">
        <v>530034</v>
      </c>
      <c r="C39" s="50" t="s">
        <v>165</v>
      </c>
      <c r="D39" s="127" t="s">
        <v>195</v>
      </c>
      <c r="E39" s="128">
        <f>SUM(E40:E42)</f>
        <v>0</v>
      </c>
      <c r="F39" s="129" t="s">
        <v>174</v>
      </c>
      <c r="G39" s="128">
        <f>SUM(G40:G42)</f>
        <v>-901</v>
      </c>
      <c r="H39" s="129" t="s">
        <v>174</v>
      </c>
      <c r="J39" s="140"/>
    </row>
    <row r="40" spans="1:10">
      <c r="A40" s="462"/>
      <c r="B40" s="112">
        <v>530034</v>
      </c>
      <c r="C40" s="107" t="s">
        <v>84</v>
      </c>
      <c r="D40" s="65" t="s">
        <v>85</v>
      </c>
      <c r="E40" s="51">
        <v>0</v>
      </c>
      <c r="F40" s="130" t="s">
        <v>174</v>
      </c>
      <c r="G40" s="51">
        <v>-219</v>
      </c>
      <c r="H40" s="130" t="s">
        <v>174</v>
      </c>
      <c r="J40" s="140"/>
    </row>
    <row r="41" spans="1:10">
      <c r="A41" s="462"/>
      <c r="B41" s="212">
        <v>530034</v>
      </c>
      <c r="C41" s="107" t="s">
        <v>80</v>
      </c>
      <c r="D41" s="65" t="s">
        <v>81</v>
      </c>
      <c r="E41" s="51">
        <v>0</v>
      </c>
      <c r="F41" s="130" t="s">
        <v>174</v>
      </c>
      <c r="G41" s="51">
        <v>-174</v>
      </c>
      <c r="H41" s="130" t="s">
        <v>174</v>
      </c>
      <c r="J41" s="140"/>
    </row>
    <row r="42" spans="1:10">
      <c r="A42" s="462"/>
      <c r="B42" s="213">
        <v>530034</v>
      </c>
      <c r="C42" s="107">
        <v>97</v>
      </c>
      <c r="D42" s="65" t="s">
        <v>16</v>
      </c>
      <c r="E42" s="51">
        <v>0</v>
      </c>
      <c r="F42" s="130" t="s">
        <v>174</v>
      </c>
      <c r="G42" s="51">
        <v>-508</v>
      </c>
      <c r="H42" s="130" t="s">
        <v>174</v>
      </c>
      <c r="J42" s="140"/>
    </row>
    <row r="43" spans="1:10">
      <c r="A43" s="114">
        <v>7</v>
      </c>
      <c r="B43" s="214">
        <v>530042</v>
      </c>
      <c r="C43" s="50" t="s">
        <v>165</v>
      </c>
      <c r="D43" s="127" t="s">
        <v>180</v>
      </c>
      <c r="E43" s="128">
        <f>SUM(E44:E49)</f>
        <v>0</v>
      </c>
      <c r="F43" s="129" t="s">
        <v>174</v>
      </c>
      <c r="G43" s="128">
        <f>SUM(G44:G49)</f>
        <v>-1575</v>
      </c>
      <c r="H43" s="129" t="s">
        <v>174</v>
      </c>
      <c r="J43" s="140"/>
    </row>
    <row r="44" spans="1:10">
      <c r="A44" s="462"/>
      <c r="B44" s="112">
        <v>530042</v>
      </c>
      <c r="C44" s="107">
        <v>42</v>
      </c>
      <c r="D44" s="65" t="s">
        <v>89</v>
      </c>
      <c r="E44" s="51">
        <v>0</v>
      </c>
      <c r="F44" s="130" t="s">
        <v>174</v>
      </c>
      <c r="G44" s="51">
        <v>-461</v>
      </c>
      <c r="H44" s="130" t="s">
        <v>174</v>
      </c>
      <c r="J44" s="140"/>
    </row>
    <row r="45" spans="1:10" ht="37.5">
      <c r="A45" s="462"/>
      <c r="B45" s="212">
        <v>530042</v>
      </c>
      <c r="C45" s="107">
        <v>57</v>
      </c>
      <c r="D45" s="65" t="s">
        <v>15</v>
      </c>
      <c r="E45" s="51">
        <v>350</v>
      </c>
      <c r="F45" s="130" t="s">
        <v>174</v>
      </c>
      <c r="G45" s="51">
        <v>350</v>
      </c>
      <c r="H45" s="130" t="s">
        <v>174</v>
      </c>
      <c r="J45" s="140"/>
    </row>
    <row r="46" spans="1:10">
      <c r="A46" s="462"/>
      <c r="B46" s="212">
        <v>530042</v>
      </c>
      <c r="C46" s="107">
        <v>68</v>
      </c>
      <c r="D46" s="65" t="s">
        <v>13</v>
      </c>
      <c r="E46" s="51">
        <v>0</v>
      </c>
      <c r="F46" s="130" t="s">
        <v>174</v>
      </c>
      <c r="G46" s="51">
        <v>-418</v>
      </c>
      <c r="H46" s="130" t="s">
        <v>174</v>
      </c>
      <c r="J46" s="140"/>
    </row>
    <row r="47" spans="1:10">
      <c r="A47" s="462"/>
      <c r="B47" s="212">
        <v>530042</v>
      </c>
      <c r="C47" s="107">
        <v>97</v>
      </c>
      <c r="D47" s="65" t="s">
        <v>16</v>
      </c>
      <c r="E47" s="51">
        <v>0</v>
      </c>
      <c r="F47" s="130" t="s">
        <v>174</v>
      </c>
      <c r="G47" s="51">
        <v>-484</v>
      </c>
      <c r="H47" s="130" t="s">
        <v>174</v>
      </c>
      <c r="J47" s="140"/>
    </row>
    <row r="48" spans="1:10">
      <c r="A48" s="462"/>
      <c r="B48" s="212">
        <v>530042</v>
      </c>
      <c r="C48" s="107">
        <v>100</v>
      </c>
      <c r="D48" s="65" t="s">
        <v>14</v>
      </c>
      <c r="E48" s="51">
        <v>0</v>
      </c>
      <c r="F48" s="130" t="s">
        <v>174</v>
      </c>
      <c r="G48" s="51">
        <v>-312</v>
      </c>
      <c r="H48" s="130" t="s">
        <v>174</v>
      </c>
      <c r="J48" s="140"/>
    </row>
    <row r="49" spans="1:10">
      <c r="A49" s="462"/>
      <c r="B49" s="213">
        <v>530042</v>
      </c>
      <c r="C49" s="107">
        <v>112</v>
      </c>
      <c r="D49" s="65" t="s">
        <v>17</v>
      </c>
      <c r="E49" s="51">
        <v>-350</v>
      </c>
      <c r="F49" s="130" t="s">
        <v>174</v>
      </c>
      <c r="G49" s="51">
        <v>-250</v>
      </c>
      <c r="H49" s="130" t="s">
        <v>174</v>
      </c>
      <c r="J49" s="140"/>
    </row>
    <row r="50" spans="1:10">
      <c r="A50" s="114">
        <v>8</v>
      </c>
      <c r="B50" s="211">
        <v>530045</v>
      </c>
      <c r="C50" s="50" t="s">
        <v>165</v>
      </c>
      <c r="D50" s="127" t="s">
        <v>22</v>
      </c>
      <c r="E50" s="128">
        <f>E51</f>
        <v>0</v>
      </c>
      <c r="F50" s="129" t="s">
        <v>174</v>
      </c>
      <c r="G50" s="128">
        <f>G51</f>
        <v>-1285</v>
      </c>
      <c r="H50" s="129" t="s">
        <v>174</v>
      </c>
      <c r="J50" s="140"/>
    </row>
    <row r="51" spans="1:10">
      <c r="A51" s="283"/>
      <c r="B51" s="113">
        <v>530045</v>
      </c>
      <c r="C51" s="83">
        <v>42</v>
      </c>
      <c r="D51" s="65" t="s">
        <v>89</v>
      </c>
      <c r="E51" s="51">
        <v>0</v>
      </c>
      <c r="F51" s="130" t="s">
        <v>174</v>
      </c>
      <c r="G51" s="51">
        <v>-1285</v>
      </c>
      <c r="H51" s="130" t="s">
        <v>174</v>
      </c>
      <c r="J51" s="140"/>
    </row>
    <row r="52" spans="1:10">
      <c r="A52" s="114">
        <v>9</v>
      </c>
      <c r="B52" s="210">
        <v>530052</v>
      </c>
      <c r="C52" s="50" t="s">
        <v>165</v>
      </c>
      <c r="D52" s="127" t="s">
        <v>183</v>
      </c>
      <c r="E52" s="128">
        <f>SUM(E53:E58)</f>
        <v>0</v>
      </c>
      <c r="F52" s="129">
        <f t="shared" ref="F52:H52" si="2">SUM(F53:F58)</f>
        <v>442</v>
      </c>
      <c r="G52" s="128">
        <f t="shared" si="2"/>
        <v>0</v>
      </c>
      <c r="H52" s="129">
        <f t="shared" si="2"/>
        <v>442</v>
      </c>
      <c r="J52" s="140"/>
    </row>
    <row r="53" spans="1:10">
      <c r="A53" s="462"/>
      <c r="B53" s="112">
        <v>530052</v>
      </c>
      <c r="C53" s="107">
        <v>65</v>
      </c>
      <c r="D53" s="65" t="s">
        <v>27</v>
      </c>
      <c r="E53" s="51">
        <v>2</v>
      </c>
      <c r="F53" s="130">
        <v>1492</v>
      </c>
      <c r="G53" s="51">
        <v>2</v>
      </c>
      <c r="H53" s="130">
        <v>1492</v>
      </c>
      <c r="J53" s="140"/>
    </row>
    <row r="54" spans="1:10">
      <c r="A54" s="462"/>
      <c r="B54" s="212">
        <v>530052</v>
      </c>
      <c r="C54" s="107">
        <v>97</v>
      </c>
      <c r="D54" s="65" t="s">
        <v>16</v>
      </c>
      <c r="E54" s="51">
        <v>-2</v>
      </c>
      <c r="F54" s="130">
        <v>-1550</v>
      </c>
      <c r="G54" s="51">
        <v>-2</v>
      </c>
      <c r="H54" s="130">
        <v>-1550</v>
      </c>
      <c r="J54" s="140"/>
    </row>
    <row r="55" spans="1:10">
      <c r="A55" s="462"/>
      <c r="B55" s="212">
        <v>530052</v>
      </c>
      <c r="C55" s="107">
        <v>108</v>
      </c>
      <c r="D55" s="65" t="s">
        <v>41</v>
      </c>
      <c r="E55" s="51">
        <v>5</v>
      </c>
      <c r="F55" s="130">
        <v>3800</v>
      </c>
      <c r="G55" s="51">
        <v>5</v>
      </c>
      <c r="H55" s="130">
        <v>3800</v>
      </c>
      <c r="J55" s="140"/>
    </row>
    <row r="56" spans="1:10">
      <c r="A56" s="462"/>
      <c r="B56" s="212">
        <v>530052</v>
      </c>
      <c r="C56" s="107">
        <v>112</v>
      </c>
      <c r="D56" s="65" t="s">
        <v>17</v>
      </c>
      <c r="E56" s="51">
        <v>1</v>
      </c>
      <c r="F56" s="130">
        <v>832</v>
      </c>
      <c r="G56" s="51">
        <v>1</v>
      </c>
      <c r="H56" s="130">
        <v>832</v>
      </c>
      <c r="J56" s="140"/>
    </row>
    <row r="57" spans="1:10">
      <c r="A57" s="462"/>
      <c r="B57" s="212">
        <v>530052</v>
      </c>
      <c r="C57" s="107">
        <v>162</v>
      </c>
      <c r="D57" s="65" t="s">
        <v>19</v>
      </c>
      <c r="E57" s="51">
        <v>-4</v>
      </c>
      <c r="F57" s="130">
        <v>-2984</v>
      </c>
      <c r="G57" s="51">
        <v>-4</v>
      </c>
      <c r="H57" s="130">
        <v>-2984</v>
      </c>
      <c r="J57" s="140"/>
    </row>
    <row r="58" spans="1:10">
      <c r="A58" s="462"/>
      <c r="B58" s="213">
        <v>530052</v>
      </c>
      <c r="C58" s="107">
        <v>171</v>
      </c>
      <c r="D58" s="65" t="s">
        <v>79</v>
      </c>
      <c r="E58" s="51">
        <v>-2</v>
      </c>
      <c r="F58" s="130">
        <v>-1148</v>
      </c>
      <c r="G58" s="51">
        <v>-2</v>
      </c>
      <c r="H58" s="130">
        <v>-1148</v>
      </c>
      <c r="J58" s="140"/>
    </row>
    <row r="59" spans="1:10" ht="33.75" customHeight="1">
      <c r="A59" s="114">
        <v>10</v>
      </c>
      <c r="B59" s="214">
        <v>530171</v>
      </c>
      <c r="C59" s="50" t="s">
        <v>165</v>
      </c>
      <c r="D59" s="127" t="s">
        <v>244</v>
      </c>
      <c r="E59" s="128">
        <f>SUM(E60:E61)</f>
        <v>0</v>
      </c>
      <c r="F59" s="129" t="s">
        <v>174</v>
      </c>
      <c r="G59" s="128">
        <f>SUM(G60:G61)</f>
        <v>0</v>
      </c>
      <c r="H59" s="129" t="s">
        <v>174</v>
      </c>
      <c r="J59" s="140"/>
    </row>
    <row r="60" spans="1:10">
      <c r="A60" s="462"/>
      <c r="B60" s="112">
        <v>530171</v>
      </c>
      <c r="C60" s="107">
        <v>97</v>
      </c>
      <c r="D60" s="65" t="s">
        <v>16</v>
      </c>
      <c r="E60" s="51">
        <v>-100</v>
      </c>
      <c r="F60" s="130" t="s">
        <v>174</v>
      </c>
      <c r="G60" s="51">
        <v>-100</v>
      </c>
      <c r="H60" s="130" t="s">
        <v>174</v>
      </c>
      <c r="J60" s="140"/>
    </row>
    <row r="61" spans="1:10">
      <c r="A61" s="462"/>
      <c r="B61" s="213">
        <v>530171</v>
      </c>
      <c r="C61" s="107">
        <v>100</v>
      </c>
      <c r="D61" s="65" t="s">
        <v>14</v>
      </c>
      <c r="E61" s="51">
        <v>100</v>
      </c>
      <c r="F61" s="130" t="s">
        <v>174</v>
      </c>
      <c r="G61" s="51">
        <v>100</v>
      </c>
      <c r="H61" s="130" t="s">
        <v>174</v>
      </c>
      <c r="J61" s="140"/>
    </row>
    <row r="62" spans="1:10">
      <c r="A62" s="289">
        <v>11</v>
      </c>
      <c r="B62" s="222">
        <v>530228</v>
      </c>
      <c r="C62" s="131" t="s">
        <v>165</v>
      </c>
      <c r="D62" s="127" t="s">
        <v>194</v>
      </c>
      <c r="E62" s="128">
        <f>SUM(E63:E64)</f>
        <v>0</v>
      </c>
      <c r="F62" s="128" t="s">
        <v>174</v>
      </c>
      <c r="G62" s="128">
        <f t="shared" ref="G62" si="3">SUM(G63:G64)</f>
        <v>0</v>
      </c>
      <c r="H62" s="128" t="s">
        <v>174</v>
      </c>
      <c r="J62" s="140"/>
    </row>
    <row r="63" spans="1:10">
      <c r="A63" s="451"/>
      <c r="B63" s="290">
        <v>530228</v>
      </c>
      <c r="C63" s="107">
        <v>42</v>
      </c>
      <c r="D63" s="65" t="s">
        <v>89</v>
      </c>
      <c r="E63" s="51">
        <v>80</v>
      </c>
      <c r="F63" s="130" t="s">
        <v>174</v>
      </c>
      <c r="G63" s="51">
        <v>80</v>
      </c>
      <c r="H63" s="130" t="s">
        <v>174</v>
      </c>
      <c r="J63" s="140"/>
    </row>
    <row r="64" spans="1:10">
      <c r="A64" s="450"/>
      <c r="B64" s="291">
        <v>530228</v>
      </c>
      <c r="C64" s="166">
        <v>97</v>
      </c>
      <c r="D64" s="150" t="s">
        <v>16</v>
      </c>
      <c r="E64" s="51">
        <v>-80</v>
      </c>
      <c r="F64" s="130" t="s">
        <v>174</v>
      </c>
      <c r="G64" s="51">
        <v>-80</v>
      </c>
      <c r="H64" s="130" t="s">
        <v>174</v>
      </c>
      <c r="J64" s="140"/>
    </row>
    <row r="65" spans="1:10">
      <c r="A65" s="464" t="s">
        <v>203</v>
      </c>
      <c r="B65" s="464"/>
      <c r="C65" s="464"/>
      <c r="D65" s="464"/>
      <c r="E65" s="142">
        <f>E12+E14+E16+E22+E25+E39+E43+E50+E52+E59+E62</f>
        <v>3761</v>
      </c>
      <c r="F65" s="145">
        <f>F12+F14+F52</f>
        <v>1087724</v>
      </c>
      <c r="G65" s="189">
        <f>G12+G14+G16+G22+G25+G39+G43+G50+G52+G59+G62</f>
        <v>0</v>
      </c>
      <c r="H65" s="145">
        <f>H12+H14+H52</f>
        <v>1087724</v>
      </c>
      <c r="J65" s="140"/>
    </row>
    <row r="70" spans="1:10">
      <c r="D70" s="109"/>
    </row>
  </sheetData>
  <mergeCells count="18">
    <mergeCell ref="A65:D65"/>
    <mergeCell ref="A40:A42"/>
    <mergeCell ref="A44:A49"/>
    <mergeCell ref="A53:A58"/>
    <mergeCell ref="A60:A61"/>
    <mergeCell ref="A63:A64"/>
    <mergeCell ref="F3:H3"/>
    <mergeCell ref="A17:A21"/>
    <mergeCell ref="A23:A24"/>
    <mergeCell ref="A26:A38"/>
    <mergeCell ref="A5:F5"/>
    <mergeCell ref="E9:F9"/>
    <mergeCell ref="A7:H7"/>
    <mergeCell ref="G9:H9"/>
    <mergeCell ref="A9:A10"/>
    <mergeCell ref="B9:B10"/>
    <mergeCell ref="D9:D10"/>
    <mergeCell ref="C9:C10"/>
  </mergeCells>
  <printOptions horizontalCentered="1"/>
  <pageMargins left="0.78740157480314965" right="0.39370078740157483" top="0.39370078740157483" bottom="0.39370078740157483" header="0.35433070866141736" footer="0.35433070866141736"/>
  <pageSetup paperSize="9" scale="60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</sheetPr>
  <dimension ref="A1:AFH52"/>
  <sheetViews>
    <sheetView zoomScale="82" zoomScaleNormal="82" workbookViewId="0">
      <pane xSplit="4" ySplit="11" topLeftCell="E36" activePane="bottomRight" state="frozen"/>
      <selection pane="topRight" activeCell="E1" sqref="E1"/>
      <selection pane="bottomLeft" activeCell="A12" sqref="A12"/>
      <selection pane="bottomRight" activeCell="A9" sqref="A9:H51"/>
    </sheetView>
  </sheetViews>
  <sheetFormatPr defaultRowHeight="18.75"/>
  <cols>
    <col min="1" max="1" width="5.85546875" style="69" customWidth="1"/>
    <col min="2" max="2" width="10.7109375" style="223" customWidth="1"/>
    <col min="3" max="3" width="11.140625" style="42" customWidth="1"/>
    <col min="4" max="4" width="47.28515625" style="34" customWidth="1"/>
    <col min="5" max="5" width="17.5703125" style="42" customWidth="1"/>
    <col min="6" max="6" width="19.5703125" style="260" customWidth="1"/>
    <col min="7" max="7" width="17" style="34" customWidth="1"/>
    <col min="8" max="8" width="17.7109375" style="144" customWidth="1"/>
    <col min="9" max="840" width="15.28515625" style="34" customWidth="1"/>
    <col min="841" max="16384" width="9.140625" style="43"/>
  </cols>
  <sheetData>
    <row r="1" spans="1:840" s="32" customFormat="1">
      <c r="A1" s="124"/>
      <c r="B1" s="123"/>
      <c r="C1" s="29"/>
      <c r="D1" s="29"/>
      <c r="E1" s="126"/>
      <c r="F1" s="226"/>
      <c r="H1" s="217" t="s">
        <v>231</v>
      </c>
    </row>
    <row r="2" spans="1:840" s="32" customFormat="1">
      <c r="A2" s="124"/>
      <c r="B2" s="123"/>
      <c r="C2" s="29"/>
      <c r="D2" s="29"/>
      <c r="E2" s="124"/>
      <c r="F2" s="226"/>
      <c r="H2" s="218" t="s">
        <v>157</v>
      </c>
    </row>
    <row r="3" spans="1:840" s="32" customFormat="1">
      <c r="A3" s="124"/>
      <c r="B3" s="123"/>
      <c r="C3" s="29"/>
      <c r="D3" s="29"/>
      <c r="E3" s="126"/>
      <c r="F3" s="501" t="s">
        <v>246</v>
      </c>
      <c r="G3" s="501"/>
      <c r="H3" s="501"/>
    </row>
    <row r="4" spans="1:840" ht="15" customHeight="1">
      <c r="A4" s="101"/>
      <c r="B4" s="42"/>
      <c r="G4" s="43"/>
      <c r="H4" s="141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  <c r="DD4" s="43"/>
      <c r="DE4" s="43"/>
      <c r="DF4" s="43"/>
      <c r="DG4" s="43"/>
      <c r="DH4" s="43"/>
      <c r="DI4" s="43"/>
      <c r="DJ4" s="43"/>
      <c r="DK4" s="43"/>
      <c r="DL4" s="43"/>
      <c r="DM4" s="43"/>
      <c r="DN4" s="43"/>
      <c r="DO4" s="43"/>
      <c r="DP4" s="43"/>
      <c r="DQ4" s="43"/>
      <c r="DR4" s="43"/>
      <c r="DS4" s="43"/>
      <c r="DT4" s="43"/>
      <c r="DU4" s="43"/>
      <c r="DV4" s="43"/>
      <c r="DW4" s="43"/>
      <c r="DX4" s="43"/>
      <c r="DY4" s="43"/>
      <c r="DZ4" s="43"/>
      <c r="EA4" s="43"/>
      <c r="EB4" s="43"/>
      <c r="EC4" s="43"/>
      <c r="ED4" s="43"/>
      <c r="EE4" s="43"/>
      <c r="EF4" s="43"/>
      <c r="EG4" s="43"/>
      <c r="EH4" s="43"/>
      <c r="EI4" s="43"/>
      <c r="EJ4" s="43"/>
      <c r="EK4" s="43"/>
      <c r="EL4" s="43"/>
      <c r="EM4" s="43"/>
      <c r="EN4" s="43"/>
      <c r="EO4" s="43"/>
      <c r="EP4" s="43"/>
      <c r="EQ4" s="43"/>
      <c r="ER4" s="43"/>
      <c r="ES4" s="43"/>
      <c r="ET4" s="43"/>
      <c r="EU4" s="43"/>
      <c r="EV4" s="43"/>
      <c r="EW4" s="43"/>
      <c r="EX4" s="43"/>
      <c r="EY4" s="43"/>
      <c r="EZ4" s="43"/>
      <c r="FA4" s="43"/>
      <c r="FB4" s="43"/>
      <c r="FC4" s="43"/>
      <c r="FD4" s="43"/>
      <c r="FE4" s="43"/>
      <c r="FF4" s="43"/>
      <c r="FG4" s="43"/>
      <c r="FH4" s="43"/>
      <c r="FI4" s="43"/>
      <c r="FJ4" s="43"/>
      <c r="FK4" s="43"/>
      <c r="FL4" s="43"/>
      <c r="FM4" s="43"/>
      <c r="FN4" s="43"/>
      <c r="FO4" s="43"/>
      <c r="FP4" s="43"/>
      <c r="FQ4" s="43"/>
      <c r="FR4" s="43"/>
      <c r="FS4" s="43"/>
      <c r="FT4" s="43"/>
      <c r="FU4" s="43"/>
      <c r="FV4" s="43"/>
      <c r="FW4" s="43"/>
      <c r="FX4" s="43"/>
      <c r="FY4" s="43"/>
      <c r="FZ4" s="43"/>
      <c r="GA4" s="43"/>
      <c r="GB4" s="43"/>
      <c r="GC4" s="43"/>
      <c r="GD4" s="43"/>
      <c r="GE4" s="43"/>
      <c r="GF4" s="43"/>
      <c r="GG4" s="43"/>
      <c r="GH4" s="43"/>
      <c r="GI4" s="43"/>
      <c r="GJ4" s="43"/>
      <c r="GK4" s="43"/>
      <c r="GL4" s="43"/>
      <c r="GM4" s="43"/>
      <c r="GN4" s="43"/>
      <c r="GO4" s="43"/>
      <c r="GP4" s="43"/>
      <c r="GQ4" s="43"/>
      <c r="GR4" s="43"/>
      <c r="GS4" s="43"/>
      <c r="GT4" s="43"/>
      <c r="GU4" s="43"/>
      <c r="GV4" s="43"/>
      <c r="GW4" s="43"/>
      <c r="GX4" s="43"/>
      <c r="GY4" s="43"/>
      <c r="GZ4" s="43"/>
      <c r="HA4" s="43"/>
      <c r="HB4" s="43"/>
      <c r="HC4" s="43"/>
      <c r="HD4" s="43"/>
      <c r="HE4" s="43"/>
      <c r="HF4" s="43"/>
      <c r="HG4" s="43"/>
      <c r="HH4" s="43"/>
      <c r="HI4" s="43"/>
      <c r="HJ4" s="43"/>
      <c r="HK4" s="43"/>
      <c r="HL4" s="43"/>
      <c r="HM4" s="43"/>
      <c r="HN4" s="43"/>
      <c r="HO4" s="43"/>
      <c r="HP4" s="43"/>
      <c r="HQ4" s="43"/>
      <c r="HR4" s="43"/>
      <c r="HS4" s="43"/>
      <c r="HT4" s="43"/>
      <c r="HU4" s="43"/>
      <c r="HV4" s="43"/>
      <c r="HW4" s="43"/>
      <c r="HX4" s="43"/>
      <c r="HY4" s="43"/>
      <c r="HZ4" s="43"/>
      <c r="IA4" s="43"/>
      <c r="IB4" s="43"/>
      <c r="IC4" s="43"/>
      <c r="ID4" s="43"/>
      <c r="IE4" s="43"/>
      <c r="IF4" s="43"/>
      <c r="IG4" s="43"/>
      <c r="IH4" s="43"/>
      <c r="II4" s="43"/>
      <c r="IJ4" s="43"/>
      <c r="IK4" s="43"/>
      <c r="IL4" s="43"/>
      <c r="IM4" s="43"/>
      <c r="IN4" s="43"/>
      <c r="IO4" s="43"/>
      <c r="IP4" s="43"/>
      <c r="IQ4" s="43"/>
      <c r="IR4" s="43"/>
      <c r="IS4" s="43"/>
      <c r="IT4" s="43"/>
      <c r="IU4" s="43"/>
      <c r="IV4" s="43"/>
      <c r="IW4" s="43"/>
      <c r="IX4" s="43"/>
      <c r="IY4" s="43"/>
      <c r="IZ4" s="43"/>
      <c r="JA4" s="43"/>
      <c r="JB4" s="43"/>
      <c r="JC4" s="43"/>
      <c r="JD4" s="43"/>
      <c r="JE4" s="43"/>
      <c r="JF4" s="43"/>
      <c r="JG4" s="43"/>
      <c r="JH4" s="43"/>
      <c r="JI4" s="43"/>
      <c r="JJ4" s="43"/>
      <c r="JK4" s="43"/>
      <c r="JL4" s="43"/>
      <c r="JM4" s="43"/>
      <c r="JN4" s="43"/>
      <c r="JO4" s="43"/>
      <c r="JP4" s="43"/>
      <c r="JQ4" s="43"/>
      <c r="JR4" s="43"/>
      <c r="JS4" s="43"/>
      <c r="JT4" s="43"/>
      <c r="JU4" s="43"/>
      <c r="JV4" s="43"/>
      <c r="JW4" s="43"/>
      <c r="JX4" s="43"/>
      <c r="JY4" s="43"/>
      <c r="JZ4" s="43"/>
      <c r="KA4" s="43"/>
      <c r="KB4" s="43"/>
      <c r="KC4" s="43"/>
      <c r="KD4" s="43"/>
      <c r="KE4" s="43"/>
      <c r="KF4" s="43"/>
      <c r="KG4" s="43"/>
      <c r="KH4" s="43"/>
      <c r="KI4" s="43"/>
      <c r="KJ4" s="43"/>
      <c r="KK4" s="43"/>
      <c r="KL4" s="43"/>
      <c r="KM4" s="43"/>
      <c r="KN4" s="43"/>
      <c r="KO4" s="43"/>
      <c r="KP4" s="43"/>
      <c r="KQ4" s="43"/>
      <c r="KR4" s="43"/>
      <c r="KS4" s="43"/>
      <c r="KT4" s="43"/>
      <c r="KU4" s="43"/>
      <c r="KV4" s="43"/>
      <c r="KW4" s="43"/>
      <c r="KX4" s="43"/>
      <c r="KY4" s="43"/>
      <c r="KZ4" s="43"/>
      <c r="LA4" s="43"/>
      <c r="LB4" s="43"/>
      <c r="LC4" s="43"/>
      <c r="LD4" s="43"/>
      <c r="LE4" s="43"/>
      <c r="LF4" s="43"/>
      <c r="LG4" s="43"/>
      <c r="LH4" s="43"/>
      <c r="LI4" s="43"/>
      <c r="LJ4" s="43"/>
      <c r="LK4" s="43"/>
      <c r="LL4" s="43"/>
      <c r="LM4" s="43"/>
      <c r="LN4" s="43"/>
      <c r="LO4" s="43"/>
      <c r="LP4" s="43"/>
      <c r="LQ4" s="43"/>
      <c r="LR4" s="43"/>
      <c r="LS4" s="43"/>
      <c r="LT4" s="43"/>
      <c r="LU4" s="43"/>
      <c r="LV4" s="43"/>
      <c r="LW4" s="43"/>
      <c r="LX4" s="43"/>
      <c r="LY4" s="43"/>
      <c r="LZ4" s="43"/>
      <c r="MA4" s="43"/>
      <c r="MB4" s="43"/>
      <c r="MC4" s="43"/>
      <c r="MD4" s="43"/>
      <c r="ME4" s="43"/>
      <c r="MF4" s="43"/>
      <c r="MG4" s="43"/>
      <c r="MH4" s="43"/>
      <c r="MI4" s="43"/>
      <c r="MJ4" s="43"/>
      <c r="MK4" s="43"/>
      <c r="ML4" s="43"/>
      <c r="MM4" s="43"/>
      <c r="MN4" s="43"/>
      <c r="MO4" s="43"/>
      <c r="MP4" s="43"/>
      <c r="MQ4" s="43"/>
      <c r="MR4" s="43"/>
      <c r="MS4" s="43"/>
      <c r="MT4" s="43"/>
      <c r="MU4" s="43"/>
      <c r="MV4" s="43"/>
      <c r="MW4" s="43"/>
      <c r="MX4" s="43"/>
      <c r="MY4" s="43"/>
      <c r="MZ4" s="43"/>
      <c r="NA4" s="43"/>
      <c r="NB4" s="43"/>
      <c r="NC4" s="43"/>
      <c r="ND4" s="43"/>
      <c r="NE4" s="43"/>
      <c r="NF4" s="43"/>
      <c r="NG4" s="43"/>
      <c r="NH4" s="43"/>
      <c r="NI4" s="43"/>
      <c r="NJ4" s="43"/>
      <c r="NK4" s="43"/>
      <c r="NL4" s="43"/>
      <c r="NM4" s="43"/>
      <c r="NN4" s="43"/>
      <c r="NO4" s="43"/>
      <c r="NP4" s="43"/>
      <c r="NQ4" s="43"/>
      <c r="NR4" s="43"/>
      <c r="NS4" s="43"/>
      <c r="NT4" s="43"/>
      <c r="NU4" s="43"/>
      <c r="NV4" s="43"/>
      <c r="NW4" s="43"/>
      <c r="NX4" s="43"/>
      <c r="NY4" s="43"/>
      <c r="NZ4" s="43"/>
      <c r="OA4" s="43"/>
      <c r="OB4" s="43"/>
      <c r="OC4" s="43"/>
      <c r="OD4" s="43"/>
      <c r="OE4" s="43"/>
      <c r="OF4" s="43"/>
      <c r="OG4" s="43"/>
      <c r="OH4" s="43"/>
      <c r="OI4" s="43"/>
      <c r="OJ4" s="43"/>
      <c r="OK4" s="43"/>
      <c r="OL4" s="43"/>
      <c r="OM4" s="43"/>
      <c r="ON4" s="43"/>
      <c r="OO4" s="43"/>
      <c r="OP4" s="43"/>
      <c r="OQ4" s="43"/>
      <c r="OR4" s="43"/>
      <c r="OS4" s="43"/>
      <c r="OT4" s="43"/>
      <c r="OU4" s="43"/>
      <c r="OV4" s="43"/>
      <c r="OW4" s="43"/>
      <c r="OX4" s="43"/>
      <c r="OY4" s="43"/>
      <c r="OZ4" s="43"/>
      <c r="PA4" s="43"/>
      <c r="PB4" s="43"/>
      <c r="PC4" s="43"/>
      <c r="PD4" s="43"/>
      <c r="PE4" s="43"/>
      <c r="PF4" s="43"/>
      <c r="PG4" s="43"/>
      <c r="PH4" s="43"/>
      <c r="PI4" s="43"/>
      <c r="PJ4" s="43"/>
      <c r="PK4" s="43"/>
      <c r="PL4" s="43"/>
      <c r="PM4" s="43"/>
      <c r="PN4" s="43"/>
      <c r="PO4" s="43"/>
      <c r="PP4" s="43"/>
      <c r="PQ4" s="43"/>
      <c r="PR4" s="43"/>
      <c r="PS4" s="43"/>
      <c r="PT4" s="43"/>
      <c r="PU4" s="43"/>
      <c r="PV4" s="43"/>
      <c r="PW4" s="43"/>
      <c r="PX4" s="43"/>
      <c r="PY4" s="43"/>
      <c r="PZ4" s="43"/>
      <c r="QA4" s="43"/>
      <c r="QB4" s="43"/>
      <c r="QC4" s="43"/>
      <c r="QD4" s="43"/>
      <c r="QE4" s="43"/>
      <c r="QF4" s="43"/>
      <c r="QG4" s="43"/>
      <c r="QH4" s="43"/>
      <c r="QI4" s="43"/>
      <c r="QJ4" s="43"/>
      <c r="QK4" s="43"/>
      <c r="QL4" s="43"/>
      <c r="QM4" s="43"/>
      <c r="QN4" s="43"/>
      <c r="QO4" s="43"/>
      <c r="QP4" s="43"/>
      <c r="QQ4" s="43"/>
      <c r="QR4" s="43"/>
      <c r="QS4" s="43"/>
      <c r="QT4" s="43"/>
      <c r="QU4" s="43"/>
      <c r="QV4" s="43"/>
      <c r="QW4" s="43"/>
      <c r="QX4" s="43"/>
      <c r="QY4" s="43"/>
      <c r="QZ4" s="43"/>
      <c r="RA4" s="43"/>
      <c r="RB4" s="43"/>
      <c r="RC4" s="43"/>
      <c r="RD4" s="43"/>
      <c r="RE4" s="43"/>
      <c r="RF4" s="43"/>
      <c r="RG4" s="43"/>
      <c r="RH4" s="43"/>
      <c r="RI4" s="43"/>
      <c r="RJ4" s="43"/>
      <c r="RK4" s="43"/>
      <c r="RL4" s="43"/>
      <c r="RM4" s="43"/>
      <c r="RN4" s="43"/>
      <c r="RO4" s="43"/>
      <c r="RP4" s="43"/>
      <c r="RQ4" s="43"/>
      <c r="RR4" s="43"/>
      <c r="RS4" s="43"/>
      <c r="RT4" s="43"/>
      <c r="RU4" s="43"/>
      <c r="RV4" s="43"/>
      <c r="RW4" s="43"/>
      <c r="RX4" s="43"/>
      <c r="RY4" s="43"/>
      <c r="RZ4" s="43"/>
      <c r="SA4" s="43"/>
      <c r="SB4" s="43"/>
      <c r="SC4" s="43"/>
      <c r="SD4" s="43"/>
      <c r="SE4" s="43"/>
      <c r="SF4" s="43"/>
      <c r="SG4" s="43"/>
      <c r="SH4" s="43"/>
      <c r="SI4" s="43"/>
      <c r="SJ4" s="43"/>
      <c r="SK4" s="43"/>
      <c r="SL4" s="43"/>
      <c r="SM4" s="43"/>
      <c r="SN4" s="43"/>
      <c r="SO4" s="43"/>
      <c r="SP4" s="43"/>
      <c r="SQ4" s="43"/>
      <c r="SR4" s="43"/>
      <c r="SS4" s="43"/>
      <c r="ST4" s="43"/>
      <c r="SU4" s="43"/>
      <c r="SV4" s="43"/>
      <c r="SW4" s="43"/>
      <c r="SX4" s="43"/>
      <c r="SY4" s="43"/>
      <c r="SZ4" s="43"/>
      <c r="TA4" s="43"/>
      <c r="TB4" s="43"/>
      <c r="TC4" s="43"/>
      <c r="TD4" s="43"/>
      <c r="TE4" s="43"/>
      <c r="TF4" s="43"/>
      <c r="TG4" s="43"/>
      <c r="TH4" s="43"/>
      <c r="TI4" s="43"/>
      <c r="TJ4" s="43"/>
      <c r="TK4" s="43"/>
      <c r="TL4" s="43"/>
      <c r="TM4" s="43"/>
      <c r="TN4" s="43"/>
      <c r="TO4" s="43"/>
      <c r="TP4" s="43"/>
      <c r="TQ4" s="43"/>
      <c r="TR4" s="43"/>
      <c r="TS4" s="43"/>
      <c r="TT4" s="43"/>
      <c r="TU4" s="43"/>
      <c r="TV4" s="43"/>
      <c r="TW4" s="43"/>
      <c r="TX4" s="43"/>
      <c r="TY4" s="43"/>
      <c r="TZ4" s="43"/>
      <c r="UA4" s="43"/>
      <c r="UB4" s="43"/>
      <c r="UC4" s="43"/>
      <c r="UD4" s="43"/>
      <c r="UE4" s="43"/>
      <c r="UF4" s="43"/>
      <c r="UG4" s="43"/>
      <c r="UH4" s="43"/>
      <c r="UI4" s="43"/>
      <c r="UJ4" s="43"/>
      <c r="UK4" s="43"/>
      <c r="UL4" s="43"/>
      <c r="UM4" s="43"/>
      <c r="UN4" s="43"/>
      <c r="UO4" s="43"/>
      <c r="UP4" s="43"/>
      <c r="UQ4" s="43"/>
      <c r="UR4" s="43"/>
      <c r="US4" s="43"/>
      <c r="UT4" s="43"/>
      <c r="UU4" s="43"/>
      <c r="UV4" s="43"/>
      <c r="UW4" s="43"/>
      <c r="UX4" s="43"/>
      <c r="UY4" s="43"/>
      <c r="UZ4" s="43"/>
      <c r="VA4" s="43"/>
      <c r="VB4" s="43"/>
      <c r="VC4" s="43"/>
      <c r="VD4" s="43"/>
      <c r="VE4" s="43"/>
      <c r="VF4" s="43"/>
      <c r="VG4" s="43"/>
      <c r="VH4" s="43"/>
      <c r="VI4" s="43"/>
      <c r="VJ4" s="43"/>
      <c r="VK4" s="43"/>
      <c r="VL4" s="43"/>
      <c r="VM4" s="43"/>
      <c r="VN4" s="43"/>
      <c r="VO4" s="43"/>
      <c r="VP4" s="43"/>
      <c r="VQ4" s="43"/>
      <c r="VR4" s="43"/>
      <c r="VS4" s="43"/>
      <c r="VT4" s="43"/>
      <c r="VU4" s="43"/>
      <c r="VV4" s="43"/>
      <c r="VW4" s="43"/>
      <c r="VX4" s="43"/>
      <c r="VY4" s="43"/>
      <c r="VZ4" s="43"/>
      <c r="WA4" s="43"/>
      <c r="WB4" s="43"/>
      <c r="WC4" s="43"/>
      <c r="WD4" s="43"/>
      <c r="WE4" s="43"/>
      <c r="WF4" s="43"/>
      <c r="WG4" s="43"/>
      <c r="WH4" s="43"/>
      <c r="WI4" s="43"/>
      <c r="WJ4" s="43"/>
      <c r="WK4" s="43"/>
      <c r="WL4" s="43"/>
      <c r="WM4" s="43"/>
      <c r="WN4" s="43"/>
      <c r="WO4" s="43"/>
      <c r="WP4" s="43"/>
      <c r="WQ4" s="43"/>
      <c r="WR4" s="43"/>
      <c r="WS4" s="43"/>
      <c r="WT4" s="43"/>
      <c r="WU4" s="43"/>
      <c r="WV4" s="43"/>
      <c r="WW4" s="43"/>
      <c r="WX4" s="43"/>
      <c r="WY4" s="43"/>
      <c r="WZ4" s="43"/>
      <c r="XA4" s="43"/>
      <c r="XB4" s="43"/>
      <c r="XC4" s="43"/>
      <c r="XD4" s="43"/>
      <c r="XE4" s="43"/>
      <c r="XF4" s="43"/>
      <c r="XG4" s="43"/>
      <c r="XH4" s="43"/>
      <c r="XI4" s="43"/>
      <c r="XJ4" s="43"/>
      <c r="XK4" s="43"/>
      <c r="XL4" s="43"/>
      <c r="XM4" s="43"/>
      <c r="XN4" s="43"/>
      <c r="XO4" s="43"/>
      <c r="XP4" s="43"/>
      <c r="XQ4" s="43"/>
      <c r="XR4" s="43"/>
      <c r="XS4" s="43"/>
      <c r="XT4" s="43"/>
      <c r="XU4" s="43"/>
      <c r="XV4" s="43"/>
      <c r="XW4" s="43"/>
      <c r="XX4" s="43"/>
      <c r="XY4" s="43"/>
      <c r="XZ4" s="43"/>
      <c r="YA4" s="43"/>
      <c r="YB4" s="43"/>
      <c r="YC4" s="43"/>
      <c r="YD4" s="43"/>
      <c r="YE4" s="43"/>
      <c r="YF4" s="43"/>
      <c r="YG4" s="43"/>
      <c r="YH4" s="43"/>
      <c r="YI4" s="43"/>
      <c r="YJ4" s="43"/>
      <c r="YK4" s="43"/>
      <c r="YL4" s="43"/>
      <c r="YM4" s="43"/>
      <c r="YN4" s="43"/>
      <c r="YO4" s="43"/>
      <c r="YP4" s="43"/>
      <c r="YQ4" s="43"/>
      <c r="YR4" s="43"/>
      <c r="YS4" s="43"/>
      <c r="YT4" s="43"/>
      <c r="YU4" s="43"/>
      <c r="YV4" s="43"/>
      <c r="YW4" s="43"/>
      <c r="YX4" s="43"/>
      <c r="YY4" s="43"/>
      <c r="YZ4" s="43"/>
      <c r="ZA4" s="43"/>
      <c r="ZB4" s="43"/>
      <c r="ZC4" s="43"/>
      <c r="ZD4" s="43"/>
      <c r="ZE4" s="43"/>
      <c r="ZF4" s="43"/>
      <c r="ZG4" s="43"/>
      <c r="ZH4" s="43"/>
      <c r="ZI4" s="43"/>
      <c r="ZJ4" s="43"/>
      <c r="ZK4" s="43"/>
      <c r="ZL4" s="43"/>
      <c r="ZM4" s="43"/>
      <c r="ZN4" s="43"/>
      <c r="ZO4" s="43"/>
      <c r="ZP4" s="43"/>
      <c r="ZQ4" s="43"/>
      <c r="ZR4" s="43"/>
      <c r="ZS4" s="43"/>
      <c r="ZT4" s="43"/>
      <c r="ZU4" s="43"/>
      <c r="ZV4" s="43"/>
      <c r="ZW4" s="43"/>
      <c r="ZX4" s="43"/>
      <c r="ZY4" s="43"/>
      <c r="ZZ4" s="43"/>
      <c r="AAA4" s="43"/>
      <c r="AAB4" s="43"/>
      <c r="AAC4" s="43"/>
      <c r="AAD4" s="43"/>
      <c r="AAE4" s="43"/>
      <c r="AAF4" s="43"/>
      <c r="AAG4" s="43"/>
      <c r="AAH4" s="43"/>
      <c r="AAI4" s="43"/>
      <c r="AAJ4" s="43"/>
      <c r="AAK4" s="43"/>
      <c r="AAL4" s="43"/>
      <c r="AAM4" s="43"/>
      <c r="AAN4" s="43"/>
      <c r="AAO4" s="43"/>
      <c r="AAP4" s="43"/>
      <c r="AAQ4" s="43"/>
      <c r="AAR4" s="43"/>
      <c r="AAS4" s="43"/>
      <c r="AAT4" s="43"/>
      <c r="AAU4" s="43"/>
      <c r="AAV4" s="43"/>
      <c r="AAW4" s="43"/>
      <c r="AAX4" s="43"/>
      <c r="AAY4" s="43"/>
      <c r="AAZ4" s="43"/>
      <c r="ABA4" s="43"/>
      <c r="ABB4" s="43"/>
      <c r="ABC4" s="43"/>
      <c r="ABD4" s="43"/>
      <c r="ABE4" s="43"/>
      <c r="ABF4" s="43"/>
      <c r="ABG4" s="43"/>
      <c r="ABH4" s="43"/>
      <c r="ABI4" s="43"/>
      <c r="ABJ4" s="43"/>
      <c r="ABK4" s="43"/>
      <c r="ABL4" s="43"/>
      <c r="ABM4" s="43"/>
      <c r="ABN4" s="43"/>
      <c r="ABO4" s="43"/>
      <c r="ABP4" s="43"/>
      <c r="ABQ4" s="43"/>
      <c r="ABR4" s="43"/>
      <c r="ABS4" s="43"/>
      <c r="ABT4" s="43"/>
      <c r="ABU4" s="43"/>
      <c r="ABV4" s="43"/>
      <c r="ABW4" s="43"/>
      <c r="ABX4" s="43"/>
      <c r="ABY4" s="43"/>
      <c r="ABZ4" s="43"/>
      <c r="ACA4" s="43"/>
      <c r="ACB4" s="43"/>
      <c r="ACC4" s="43"/>
      <c r="ACD4" s="43"/>
      <c r="ACE4" s="43"/>
      <c r="ACF4" s="43"/>
      <c r="ACG4" s="43"/>
      <c r="ACH4" s="43"/>
      <c r="ACI4" s="43"/>
      <c r="ACJ4" s="43"/>
      <c r="ACK4" s="43"/>
      <c r="ACL4" s="43"/>
      <c r="ACM4" s="43"/>
      <c r="ACN4" s="43"/>
      <c r="ACO4" s="43"/>
      <c r="ACP4" s="43"/>
      <c r="ACQ4" s="43"/>
      <c r="ACR4" s="43"/>
      <c r="ACS4" s="43"/>
      <c r="ACT4" s="43"/>
      <c r="ACU4" s="43"/>
      <c r="ACV4" s="43"/>
      <c r="ACW4" s="43"/>
      <c r="ACX4" s="43"/>
      <c r="ACY4" s="43"/>
      <c r="ACZ4" s="43"/>
      <c r="ADA4" s="43"/>
      <c r="ADB4" s="43"/>
      <c r="ADC4" s="43"/>
      <c r="ADD4" s="43"/>
      <c r="ADE4" s="43"/>
      <c r="ADF4" s="43"/>
      <c r="ADG4" s="43"/>
      <c r="ADH4" s="43"/>
      <c r="ADI4" s="43"/>
      <c r="ADJ4" s="43"/>
      <c r="ADK4" s="43"/>
      <c r="ADL4" s="43"/>
      <c r="ADM4" s="43"/>
      <c r="ADN4" s="43"/>
      <c r="ADO4" s="43"/>
      <c r="ADP4" s="43"/>
      <c r="ADQ4" s="43"/>
      <c r="ADR4" s="43"/>
      <c r="ADS4" s="43"/>
      <c r="ADT4" s="43"/>
      <c r="ADU4" s="43"/>
      <c r="ADV4" s="43"/>
      <c r="ADW4" s="43"/>
      <c r="ADX4" s="43"/>
      <c r="ADY4" s="43"/>
      <c r="ADZ4" s="43"/>
      <c r="AEA4" s="43"/>
      <c r="AEB4" s="43"/>
      <c r="AEC4" s="43"/>
      <c r="AED4" s="43"/>
      <c r="AEE4" s="43"/>
      <c r="AEF4" s="43"/>
      <c r="AEG4" s="43"/>
      <c r="AEH4" s="43"/>
      <c r="AEI4" s="43"/>
      <c r="AEJ4" s="43"/>
      <c r="AEK4" s="43"/>
      <c r="AEL4" s="43"/>
      <c r="AEM4" s="43"/>
      <c r="AEN4" s="43"/>
      <c r="AEO4" s="43"/>
      <c r="AEP4" s="43"/>
      <c r="AEQ4" s="43"/>
      <c r="AER4" s="43"/>
      <c r="AES4" s="43"/>
      <c r="AET4" s="43"/>
      <c r="AEU4" s="43"/>
      <c r="AEV4" s="43"/>
      <c r="AEW4" s="43"/>
      <c r="AEX4" s="43"/>
      <c r="AEY4" s="43"/>
      <c r="AEZ4" s="43"/>
      <c r="AFA4" s="43"/>
      <c r="AFB4" s="43"/>
      <c r="AFC4" s="43"/>
      <c r="AFD4" s="43"/>
      <c r="AFE4" s="43"/>
      <c r="AFF4" s="43"/>
      <c r="AFG4" s="43"/>
      <c r="AFH4" s="43"/>
    </row>
    <row r="5" spans="1:840" ht="54" hidden="1" customHeight="1">
      <c r="A5" s="454" t="s">
        <v>146</v>
      </c>
      <c r="B5" s="454"/>
      <c r="C5" s="454"/>
      <c r="D5" s="454"/>
      <c r="E5" s="454"/>
      <c r="F5" s="454"/>
      <c r="G5" s="43"/>
      <c r="H5" s="141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  <c r="GQ5" s="43"/>
      <c r="GR5" s="43"/>
      <c r="GS5" s="43"/>
      <c r="GT5" s="43"/>
      <c r="GU5" s="43"/>
      <c r="GV5" s="43"/>
      <c r="GW5" s="43"/>
      <c r="GX5" s="43"/>
      <c r="GY5" s="43"/>
      <c r="GZ5" s="43"/>
      <c r="HA5" s="43"/>
      <c r="HB5" s="43"/>
      <c r="HC5" s="43"/>
      <c r="HD5" s="43"/>
      <c r="HE5" s="43"/>
      <c r="HF5" s="43"/>
      <c r="HG5" s="43"/>
      <c r="HH5" s="43"/>
      <c r="HI5" s="43"/>
      <c r="HJ5" s="43"/>
      <c r="HK5" s="43"/>
      <c r="HL5" s="43"/>
      <c r="HM5" s="43"/>
      <c r="HN5" s="43"/>
      <c r="HO5" s="43"/>
      <c r="HP5" s="43"/>
      <c r="HQ5" s="43"/>
      <c r="HR5" s="43"/>
      <c r="HS5" s="43"/>
      <c r="HT5" s="43"/>
      <c r="HU5" s="43"/>
      <c r="HV5" s="43"/>
      <c r="HW5" s="43"/>
      <c r="HX5" s="43"/>
      <c r="HY5" s="43"/>
      <c r="HZ5" s="43"/>
      <c r="IA5" s="43"/>
      <c r="IB5" s="43"/>
      <c r="IC5" s="43"/>
      <c r="ID5" s="43"/>
      <c r="IE5" s="43"/>
      <c r="IF5" s="43"/>
      <c r="IG5" s="43"/>
      <c r="IH5" s="43"/>
      <c r="II5" s="43"/>
      <c r="IJ5" s="43"/>
      <c r="IK5" s="43"/>
      <c r="IL5" s="43"/>
      <c r="IM5" s="43"/>
      <c r="IN5" s="43"/>
      <c r="IO5" s="43"/>
      <c r="IP5" s="43"/>
      <c r="IQ5" s="43"/>
      <c r="IR5" s="43"/>
      <c r="IS5" s="43"/>
      <c r="IT5" s="43"/>
      <c r="IU5" s="43"/>
      <c r="IV5" s="43"/>
      <c r="IW5" s="43"/>
      <c r="IX5" s="43"/>
      <c r="IY5" s="43"/>
      <c r="IZ5" s="43"/>
      <c r="JA5" s="43"/>
      <c r="JB5" s="43"/>
      <c r="JC5" s="43"/>
      <c r="JD5" s="43"/>
      <c r="JE5" s="43"/>
      <c r="JF5" s="43"/>
      <c r="JG5" s="43"/>
      <c r="JH5" s="43"/>
      <c r="JI5" s="43"/>
      <c r="JJ5" s="43"/>
      <c r="JK5" s="43"/>
      <c r="JL5" s="43"/>
      <c r="JM5" s="43"/>
      <c r="JN5" s="43"/>
      <c r="JO5" s="43"/>
      <c r="JP5" s="43"/>
      <c r="JQ5" s="43"/>
      <c r="JR5" s="43"/>
      <c r="JS5" s="43"/>
      <c r="JT5" s="43"/>
      <c r="JU5" s="43"/>
      <c r="JV5" s="43"/>
      <c r="JW5" s="43"/>
      <c r="JX5" s="43"/>
      <c r="JY5" s="43"/>
      <c r="JZ5" s="43"/>
      <c r="KA5" s="43"/>
      <c r="KB5" s="43"/>
      <c r="KC5" s="43"/>
      <c r="KD5" s="43"/>
      <c r="KE5" s="43"/>
      <c r="KF5" s="43"/>
      <c r="KG5" s="43"/>
      <c r="KH5" s="43"/>
      <c r="KI5" s="43"/>
      <c r="KJ5" s="43"/>
      <c r="KK5" s="43"/>
      <c r="KL5" s="43"/>
      <c r="KM5" s="43"/>
      <c r="KN5" s="43"/>
      <c r="KO5" s="43"/>
      <c r="KP5" s="43"/>
      <c r="KQ5" s="43"/>
      <c r="KR5" s="43"/>
      <c r="KS5" s="43"/>
      <c r="KT5" s="43"/>
      <c r="KU5" s="43"/>
      <c r="KV5" s="43"/>
      <c r="KW5" s="43"/>
      <c r="KX5" s="43"/>
      <c r="KY5" s="43"/>
      <c r="KZ5" s="43"/>
      <c r="LA5" s="43"/>
      <c r="LB5" s="43"/>
      <c r="LC5" s="43"/>
      <c r="LD5" s="43"/>
      <c r="LE5" s="43"/>
      <c r="LF5" s="43"/>
      <c r="LG5" s="43"/>
      <c r="LH5" s="43"/>
      <c r="LI5" s="43"/>
      <c r="LJ5" s="43"/>
      <c r="LK5" s="43"/>
      <c r="LL5" s="43"/>
      <c r="LM5" s="43"/>
      <c r="LN5" s="43"/>
      <c r="LO5" s="43"/>
      <c r="LP5" s="43"/>
      <c r="LQ5" s="43"/>
      <c r="LR5" s="43"/>
      <c r="LS5" s="43"/>
      <c r="LT5" s="43"/>
      <c r="LU5" s="43"/>
      <c r="LV5" s="43"/>
      <c r="LW5" s="43"/>
      <c r="LX5" s="43"/>
      <c r="LY5" s="43"/>
      <c r="LZ5" s="43"/>
      <c r="MA5" s="43"/>
      <c r="MB5" s="43"/>
      <c r="MC5" s="43"/>
      <c r="MD5" s="43"/>
      <c r="ME5" s="43"/>
      <c r="MF5" s="43"/>
      <c r="MG5" s="43"/>
      <c r="MH5" s="43"/>
      <c r="MI5" s="43"/>
      <c r="MJ5" s="43"/>
      <c r="MK5" s="43"/>
      <c r="ML5" s="43"/>
      <c r="MM5" s="43"/>
      <c r="MN5" s="43"/>
      <c r="MO5" s="43"/>
      <c r="MP5" s="43"/>
      <c r="MQ5" s="43"/>
      <c r="MR5" s="43"/>
      <c r="MS5" s="43"/>
      <c r="MT5" s="43"/>
      <c r="MU5" s="43"/>
      <c r="MV5" s="43"/>
      <c r="MW5" s="43"/>
      <c r="MX5" s="43"/>
      <c r="MY5" s="43"/>
      <c r="MZ5" s="43"/>
      <c r="NA5" s="43"/>
      <c r="NB5" s="43"/>
      <c r="NC5" s="43"/>
      <c r="ND5" s="43"/>
      <c r="NE5" s="43"/>
      <c r="NF5" s="43"/>
      <c r="NG5" s="43"/>
      <c r="NH5" s="43"/>
      <c r="NI5" s="43"/>
      <c r="NJ5" s="43"/>
      <c r="NK5" s="43"/>
      <c r="NL5" s="43"/>
      <c r="NM5" s="43"/>
      <c r="NN5" s="43"/>
      <c r="NO5" s="43"/>
      <c r="NP5" s="43"/>
      <c r="NQ5" s="43"/>
      <c r="NR5" s="43"/>
      <c r="NS5" s="43"/>
      <c r="NT5" s="43"/>
      <c r="NU5" s="43"/>
      <c r="NV5" s="43"/>
      <c r="NW5" s="43"/>
      <c r="NX5" s="43"/>
      <c r="NY5" s="43"/>
      <c r="NZ5" s="43"/>
      <c r="OA5" s="43"/>
      <c r="OB5" s="43"/>
      <c r="OC5" s="43"/>
      <c r="OD5" s="43"/>
      <c r="OE5" s="43"/>
      <c r="OF5" s="43"/>
      <c r="OG5" s="43"/>
      <c r="OH5" s="43"/>
      <c r="OI5" s="43"/>
      <c r="OJ5" s="43"/>
      <c r="OK5" s="43"/>
      <c r="OL5" s="43"/>
      <c r="OM5" s="43"/>
      <c r="ON5" s="43"/>
      <c r="OO5" s="43"/>
      <c r="OP5" s="43"/>
      <c r="OQ5" s="43"/>
      <c r="OR5" s="43"/>
      <c r="OS5" s="43"/>
      <c r="OT5" s="43"/>
      <c r="OU5" s="43"/>
      <c r="OV5" s="43"/>
      <c r="OW5" s="43"/>
      <c r="OX5" s="43"/>
      <c r="OY5" s="43"/>
      <c r="OZ5" s="43"/>
      <c r="PA5" s="43"/>
      <c r="PB5" s="43"/>
      <c r="PC5" s="43"/>
      <c r="PD5" s="43"/>
      <c r="PE5" s="43"/>
      <c r="PF5" s="43"/>
      <c r="PG5" s="43"/>
      <c r="PH5" s="43"/>
      <c r="PI5" s="43"/>
      <c r="PJ5" s="43"/>
      <c r="PK5" s="43"/>
      <c r="PL5" s="43"/>
      <c r="PM5" s="43"/>
      <c r="PN5" s="43"/>
      <c r="PO5" s="43"/>
      <c r="PP5" s="43"/>
      <c r="PQ5" s="43"/>
      <c r="PR5" s="43"/>
      <c r="PS5" s="43"/>
      <c r="PT5" s="43"/>
      <c r="PU5" s="43"/>
      <c r="PV5" s="43"/>
      <c r="PW5" s="43"/>
      <c r="PX5" s="43"/>
      <c r="PY5" s="43"/>
      <c r="PZ5" s="43"/>
      <c r="QA5" s="43"/>
      <c r="QB5" s="43"/>
      <c r="QC5" s="43"/>
      <c r="QD5" s="43"/>
      <c r="QE5" s="43"/>
      <c r="QF5" s="43"/>
      <c r="QG5" s="43"/>
      <c r="QH5" s="43"/>
      <c r="QI5" s="43"/>
      <c r="QJ5" s="43"/>
      <c r="QK5" s="43"/>
      <c r="QL5" s="43"/>
      <c r="QM5" s="43"/>
      <c r="QN5" s="43"/>
      <c r="QO5" s="43"/>
      <c r="QP5" s="43"/>
      <c r="QQ5" s="43"/>
      <c r="QR5" s="43"/>
      <c r="QS5" s="43"/>
      <c r="QT5" s="43"/>
      <c r="QU5" s="43"/>
      <c r="QV5" s="43"/>
      <c r="QW5" s="43"/>
      <c r="QX5" s="43"/>
      <c r="QY5" s="43"/>
      <c r="QZ5" s="43"/>
      <c r="RA5" s="43"/>
      <c r="RB5" s="43"/>
      <c r="RC5" s="43"/>
      <c r="RD5" s="43"/>
      <c r="RE5" s="43"/>
      <c r="RF5" s="43"/>
      <c r="RG5" s="43"/>
      <c r="RH5" s="43"/>
      <c r="RI5" s="43"/>
      <c r="RJ5" s="43"/>
      <c r="RK5" s="43"/>
      <c r="RL5" s="43"/>
      <c r="RM5" s="43"/>
      <c r="RN5" s="43"/>
      <c r="RO5" s="43"/>
      <c r="RP5" s="43"/>
      <c r="RQ5" s="43"/>
      <c r="RR5" s="43"/>
      <c r="RS5" s="43"/>
      <c r="RT5" s="43"/>
      <c r="RU5" s="43"/>
      <c r="RV5" s="43"/>
      <c r="RW5" s="43"/>
      <c r="RX5" s="43"/>
      <c r="RY5" s="43"/>
      <c r="RZ5" s="43"/>
      <c r="SA5" s="43"/>
      <c r="SB5" s="43"/>
      <c r="SC5" s="43"/>
      <c r="SD5" s="43"/>
      <c r="SE5" s="43"/>
      <c r="SF5" s="43"/>
      <c r="SG5" s="43"/>
      <c r="SH5" s="43"/>
      <c r="SI5" s="43"/>
      <c r="SJ5" s="43"/>
      <c r="SK5" s="43"/>
      <c r="SL5" s="43"/>
      <c r="SM5" s="43"/>
      <c r="SN5" s="43"/>
      <c r="SO5" s="43"/>
      <c r="SP5" s="43"/>
      <c r="SQ5" s="43"/>
      <c r="SR5" s="43"/>
      <c r="SS5" s="43"/>
      <c r="ST5" s="43"/>
      <c r="SU5" s="43"/>
      <c r="SV5" s="43"/>
      <c r="SW5" s="43"/>
      <c r="SX5" s="43"/>
      <c r="SY5" s="43"/>
      <c r="SZ5" s="43"/>
      <c r="TA5" s="43"/>
      <c r="TB5" s="43"/>
      <c r="TC5" s="43"/>
      <c r="TD5" s="43"/>
      <c r="TE5" s="43"/>
      <c r="TF5" s="43"/>
      <c r="TG5" s="43"/>
      <c r="TH5" s="43"/>
      <c r="TI5" s="43"/>
      <c r="TJ5" s="43"/>
      <c r="TK5" s="43"/>
      <c r="TL5" s="43"/>
      <c r="TM5" s="43"/>
      <c r="TN5" s="43"/>
      <c r="TO5" s="43"/>
      <c r="TP5" s="43"/>
      <c r="TQ5" s="43"/>
      <c r="TR5" s="43"/>
      <c r="TS5" s="43"/>
      <c r="TT5" s="43"/>
      <c r="TU5" s="43"/>
      <c r="TV5" s="43"/>
      <c r="TW5" s="43"/>
      <c r="TX5" s="43"/>
      <c r="TY5" s="43"/>
      <c r="TZ5" s="43"/>
      <c r="UA5" s="43"/>
      <c r="UB5" s="43"/>
      <c r="UC5" s="43"/>
      <c r="UD5" s="43"/>
      <c r="UE5" s="43"/>
      <c r="UF5" s="43"/>
      <c r="UG5" s="43"/>
      <c r="UH5" s="43"/>
      <c r="UI5" s="43"/>
      <c r="UJ5" s="43"/>
      <c r="UK5" s="43"/>
      <c r="UL5" s="43"/>
      <c r="UM5" s="43"/>
      <c r="UN5" s="43"/>
      <c r="UO5" s="43"/>
      <c r="UP5" s="43"/>
      <c r="UQ5" s="43"/>
      <c r="UR5" s="43"/>
      <c r="US5" s="43"/>
      <c r="UT5" s="43"/>
      <c r="UU5" s="43"/>
      <c r="UV5" s="43"/>
      <c r="UW5" s="43"/>
      <c r="UX5" s="43"/>
      <c r="UY5" s="43"/>
      <c r="UZ5" s="43"/>
      <c r="VA5" s="43"/>
      <c r="VB5" s="43"/>
      <c r="VC5" s="43"/>
      <c r="VD5" s="43"/>
      <c r="VE5" s="43"/>
      <c r="VF5" s="43"/>
      <c r="VG5" s="43"/>
      <c r="VH5" s="43"/>
      <c r="VI5" s="43"/>
      <c r="VJ5" s="43"/>
      <c r="VK5" s="43"/>
      <c r="VL5" s="43"/>
      <c r="VM5" s="43"/>
      <c r="VN5" s="43"/>
      <c r="VO5" s="43"/>
      <c r="VP5" s="43"/>
      <c r="VQ5" s="43"/>
      <c r="VR5" s="43"/>
      <c r="VS5" s="43"/>
      <c r="VT5" s="43"/>
      <c r="VU5" s="43"/>
      <c r="VV5" s="43"/>
      <c r="VW5" s="43"/>
      <c r="VX5" s="43"/>
      <c r="VY5" s="43"/>
      <c r="VZ5" s="43"/>
      <c r="WA5" s="43"/>
      <c r="WB5" s="43"/>
      <c r="WC5" s="43"/>
      <c r="WD5" s="43"/>
      <c r="WE5" s="43"/>
      <c r="WF5" s="43"/>
      <c r="WG5" s="43"/>
      <c r="WH5" s="43"/>
      <c r="WI5" s="43"/>
      <c r="WJ5" s="43"/>
      <c r="WK5" s="43"/>
      <c r="WL5" s="43"/>
      <c r="WM5" s="43"/>
      <c r="WN5" s="43"/>
      <c r="WO5" s="43"/>
      <c r="WP5" s="43"/>
      <c r="WQ5" s="43"/>
      <c r="WR5" s="43"/>
      <c r="WS5" s="43"/>
      <c r="WT5" s="43"/>
      <c r="WU5" s="43"/>
      <c r="WV5" s="43"/>
      <c r="WW5" s="43"/>
      <c r="WX5" s="43"/>
      <c r="WY5" s="43"/>
      <c r="WZ5" s="43"/>
      <c r="XA5" s="43"/>
      <c r="XB5" s="43"/>
      <c r="XC5" s="43"/>
      <c r="XD5" s="43"/>
      <c r="XE5" s="43"/>
      <c r="XF5" s="43"/>
      <c r="XG5" s="43"/>
      <c r="XH5" s="43"/>
      <c r="XI5" s="43"/>
      <c r="XJ5" s="43"/>
      <c r="XK5" s="43"/>
      <c r="XL5" s="43"/>
      <c r="XM5" s="43"/>
      <c r="XN5" s="43"/>
      <c r="XO5" s="43"/>
      <c r="XP5" s="43"/>
      <c r="XQ5" s="43"/>
      <c r="XR5" s="43"/>
      <c r="XS5" s="43"/>
      <c r="XT5" s="43"/>
      <c r="XU5" s="43"/>
      <c r="XV5" s="43"/>
      <c r="XW5" s="43"/>
      <c r="XX5" s="43"/>
      <c r="XY5" s="43"/>
      <c r="XZ5" s="43"/>
      <c r="YA5" s="43"/>
      <c r="YB5" s="43"/>
      <c r="YC5" s="43"/>
      <c r="YD5" s="43"/>
      <c r="YE5" s="43"/>
      <c r="YF5" s="43"/>
      <c r="YG5" s="43"/>
      <c r="YH5" s="43"/>
      <c r="YI5" s="43"/>
      <c r="YJ5" s="43"/>
      <c r="YK5" s="43"/>
      <c r="YL5" s="43"/>
      <c r="YM5" s="43"/>
      <c r="YN5" s="43"/>
      <c r="YO5" s="43"/>
      <c r="YP5" s="43"/>
      <c r="YQ5" s="43"/>
      <c r="YR5" s="43"/>
      <c r="YS5" s="43"/>
      <c r="YT5" s="43"/>
      <c r="YU5" s="43"/>
      <c r="YV5" s="43"/>
      <c r="YW5" s="43"/>
      <c r="YX5" s="43"/>
      <c r="YY5" s="43"/>
      <c r="YZ5" s="43"/>
      <c r="ZA5" s="43"/>
      <c r="ZB5" s="43"/>
      <c r="ZC5" s="43"/>
      <c r="ZD5" s="43"/>
      <c r="ZE5" s="43"/>
      <c r="ZF5" s="43"/>
      <c r="ZG5" s="43"/>
      <c r="ZH5" s="43"/>
      <c r="ZI5" s="43"/>
      <c r="ZJ5" s="43"/>
      <c r="ZK5" s="43"/>
      <c r="ZL5" s="43"/>
      <c r="ZM5" s="43"/>
      <c r="ZN5" s="43"/>
      <c r="ZO5" s="43"/>
      <c r="ZP5" s="43"/>
      <c r="ZQ5" s="43"/>
      <c r="ZR5" s="43"/>
      <c r="ZS5" s="43"/>
      <c r="ZT5" s="43"/>
      <c r="ZU5" s="43"/>
      <c r="ZV5" s="43"/>
      <c r="ZW5" s="43"/>
      <c r="ZX5" s="43"/>
      <c r="ZY5" s="43"/>
      <c r="ZZ5" s="43"/>
      <c r="AAA5" s="43"/>
      <c r="AAB5" s="43"/>
      <c r="AAC5" s="43"/>
      <c r="AAD5" s="43"/>
      <c r="AAE5" s="43"/>
      <c r="AAF5" s="43"/>
      <c r="AAG5" s="43"/>
      <c r="AAH5" s="43"/>
      <c r="AAI5" s="43"/>
      <c r="AAJ5" s="43"/>
      <c r="AAK5" s="43"/>
      <c r="AAL5" s="43"/>
      <c r="AAM5" s="43"/>
      <c r="AAN5" s="43"/>
      <c r="AAO5" s="43"/>
      <c r="AAP5" s="43"/>
      <c r="AAQ5" s="43"/>
      <c r="AAR5" s="43"/>
      <c r="AAS5" s="43"/>
      <c r="AAT5" s="43"/>
      <c r="AAU5" s="43"/>
      <c r="AAV5" s="43"/>
      <c r="AAW5" s="43"/>
      <c r="AAX5" s="43"/>
      <c r="AAY5" s="43"/>
      <c r="AAZ5" s="43"/>
      <c r="ABA5" s="43"/>
      <c r="ABB5" s="43"/>
      <c r="ABC5" s="43"/>
      <c r="ABD5" s="43"/>
      <c r="ABE5" s="43"/>
      <c r="ABF5" s="43"/>
      <c r="ABG5" s="43"/>
      <c r="ABH5" s="43"/>
      <c r="ABI5" s="43"/>
      <c r="ABJ5" s="43"/>
      <c r="ABK5" s="43"/>
      <c r="ABL5" s="43"/>
      <c r="ABM5" s="43"/>
      <c r="ABN5" s="43"/>
      <c r="ABO5" s="43"/>
      <c r="ABP5" s="43"/>
      <c r="ABQ5" s="43"/>
      <c r="ABR5" s="43"/>
      <c r="ABS5" s="43"/>
      <c r="ABT5" s="43"/>
      <c r="ABU5" s="43"/>
      <c r="ABV5" s="43"/>
      <c r="ABW5" s="43"/>
      <c r="ABX5" s="43"/>
      <c r="ABY5" s="43"/>
      <c r="ABZ5" s="43"/>
      <c r="ACA5" s="43"/>
      <c r="ACB5" s="43"/>
      <c r="ACC5" s="43"/>
      <c r="ACD5" s="43"/>
      <c r="ACE5" s="43"/>
      <c r="ACF5" s="43"/>
      <c r="ACG5" s="43"/>
      <c r="ACH5" s="43"/>
      <c r="ACI5" s="43"/>
      <c r="ACJ5" s="43"/>
      <c r="ACK5" s="43"/>
      <c r="ACL5" s="43"/>
      <c r="ACM5" s="43"/>
      <c r="ACN5" s="43"/>
      <c r="ACO5" s="43"/>
      <c r="ACP5" s="43"/>
      <c r="ACQ5" s="43"/>
      <c r="ACR5" s="43"/>
      <c r="ACS5" s="43"/>
      <c r="ACT5" s="43"/>
      <c r="ACU5" s="43"/>
      <c r="ACV5" s="43"/>
      <c r="ACW5" s="43"/>
      <c r="ACX5" s="43"/>
      <c r="ACY5" s="43"/>
      <c r="ACZ5" s="43"/>
      <c r="ADA5" s="43"/>
      <c r="ADB5" s="43"/>
      <c r="ADC5" s="43"/>
      <c r="ADD5" s="43"/>
      <c r="ADE5" s="43"/>
      <c r="ADF5" s="43"/>
      <c r="ADG5" s="43"/>
      <c r="ADH5" s="43"/>
      <c r="ADI5" s="43"/>
      <c r="ADJ5" s="43"/>
      <c r="ADK5" s="43"/>
      <c r="ADL5" s="43"/>
      <c r="ADM5" s="43"/>
      <c r="ADN5" s="43"/>
      <c r="ADO5" s="43"/>
      <c r="ADP5" s="43"/>
      <c r="ADQ5" s="43"/>
      <c r="ADR5" s="43"/>
      <c r="ADS5" s="43"/>
      <c r="ADT5" s="43"/>
      <c r="ADU5" s="43"/>
      <c r="ADV5" s="43"/>
      <c r="ADW5" s="43"/>
      <c r="ADX5" s="43"/>
      <c r="ADY5" s="43"/>
      <c r="ADZ5" s="43"/>
      <c r="AEA5" s="43"/>
      <c r="AEB5" s="43"/>
      <c r="AEC5" s="43"/>
      <c r="AED5" s="43"/>
      <c r="AEE5" s="43"/>
      <c r="AEF5" s="43"/>
      <c r="AEG5" s="43"/>
      <c r="AEH5" s="43"/>
      <c r="AEI5" s="43"/>
      <c r="AEJ5" s="43"/>
      <c r="AEK5" s="43"/>
      <c r="AEL5" s="43"/>
      <c r="AEM5" s="43"/>
      <c r="AEN5" s="43"/>
      <c r="AEO5" s="43"/>
      <c r="AEP5" s="43"/>
      <c r="AEQ5" s="43"/>
      <c r="AER5" s="43"/>
      <c r="AES5" s="43"/>
      <c r="AET5" s="43"/>
      <c r="AEU5" s="43"/>
      <c r="AEV5" s="43"/>
      <c r="AEW5" s="43"/>
      <c r="AEX5" s="43"/>
      <c r="AEY5" s="43"/>
      <c r="AEZ5" s="43"/>
      <c r="AFA5" s="43"/>
      <c r="AFB5" s="43"/>
      <c r="AFC5" s="43"/>
      <c r="AFD5" s="43"/>
      <c r="AFE5" s="43"/>
      <c r="AFF5" s="43"/>
      <c r="AFG5" s="43"/>
      <c r="AFH5" s="43"/>
    </row>
    <row r="6" spans="1:840" ht="9.75" hidden="1" customHeight="1">
      <c r="A6" s="154"/>
      <c r="B6" s="154"/>
      <c r="C6" s="82"/>
      <c r="D6" s="82"/>
      <c r="E6" s="82"/>
      <c r="F6" s="227"/>
      <c r="G6" s="43"/>
      <c r="H6" s="141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3"/>
      <c r="HL6" s="43"/>
      <c r="HM6" s="43"/>
      <c r="HN6" s="43"/>
      <c r="HO6" s="43"/>
      <c r="HP6" s="43"/>
      <c r="HQ6" s="43"/>
      <c r="HR6" s="43"/>
      <c r="HS6" s="43"/>
      <c r="HT6" s="43"/>
      <c r="HU6" s="43"/>
      <c r="HV6" s="43"/>
      <c r="HW6" s="43"/>
      <c r="HX6" s="43"/>
      <c r="HY6" s="43"/>
      <c r="HZ6" s="43"/>
      <c r="IA6" s="43"/>
      <c r="IB6" s="43"/>
      <c r="IC6" s="43"/>
      <c r="ID6" s="43"/>
      <c r="IE6" s="43"/>
      <c r="IF6" s="43"/>
      <c r="IG6" s="43"/>
      <c r="IH6" s="43"/>
      <c r="II6" s="43"/>
      <c r="IJ6" s="43"/>
      <c r="IK6" s="43"/>
      <c r="IL6" s="43"/>
      <c r="IM6" s="43"/>
      <c r="IN6" s="43"/>
      <c r="IO6" s="43"/>
      <c r="IP6" s="43"/>
      <c r="IQ6" s="43"/>
      <c r="IR6" s="43"/>
      <c r="IS6" s="43"/>
      <c r="IT6" s="43"/>
      <c r="IU6" s="43"/>
      <c r="IV6" s="43"/>
      <c r="IW6" s="43"/>
      <c r="IX6" s="43"/>
      <c r="IY6" s="43"/>
      <c r="IZ6" s="43"/>
      <c r="JA6" s="43"/>
      <c r="JB6" s="43"/>
      <c r="JC6" s="43"/>
      <c r="JD6" s="43"/>
      <c r="JE6" s="43"/>
      <c r="JF6" s="43"/>
      <c r="JG6" s="43"/>
      <c r="JH6" s="43"/>
      <c r="JI6" s="43"/>
      <c r="JJ6" s="43"/>
      <c r="JK6" s="43"/>
      <c r="JL6" s="43"/>
      <c r="JM6" s="43"/>
      <c r="JN6" s="43"/>
      <c r="JO6" s="43"/>
      <c r="JP6" s="43"/>
      <c r="JQ6" s="43"/>
      <c r="JR6" s="43"/>
      <c r="JS6" s="43"/>
      <c r="JT6" s="43"/>
      <c r="JU6" s="43"/>
      <c r="JV6" s="43"/>
      <c r="JW6" s="43"/>
      <c r="JX6" s="43"/>
      <c r="JY6" s="43"/>
      <c r="JZ6" s="43"/>
      <c r="KA6" s="43"/>
      <c r="KB6" s="43"/>
      <c r="KC6" s="43"/>
      <c r="KD6" s="43"/>
      <c r="KE6" s="43"/>
      <c r="KF6" s="43"/>
      <c r="KG6" s="43"/>
      <c r="KH6" s="43"/>
      <c r="KI6" s="43"/>
      <c r="KJ6" s="43"/>
      <c r="KK6" s="43"/>
      <c r="KL6" s="43"/>
      <c r="KM6" s="43"/>
      <c r="KN6" s="43"/>
      <c r="KO6" s="43"/>
      <c r="KP6" s="43"/>
      <c r="KQ6" s="43"/>
      <c r="KR6" s="43"/>
      <c r="KS6" s="43"/>
      <c r="KT6" s="43"/>
      <c r="KU6" s="43"/>
      <c r="KV6" s="43"/>
      <c r="KW6" s="43"/>
      <c r="KX6" s="43"/>
      <c r="KY6" s="43"/>
      <c r="KZ6" s="43"/>
      <c r="LA6" s="43"/>
      <c r="LB6" s="43"/>
      <c r="LC6" s="43"/>
      <c r="LD6" s="43"/>
      <c r="LE6" s="43"/>
      <c r="LF6" s="43"/>
      <c r="LG6" s="43"/>
      <c r="LH6" s="43"/>
      <c r="LI6" s="43"/>
      <c r="LJ6" s="43"/>
      <c r="LK6" s="43"/>
      <c r="LL6" s="43"/>
      <c r="LM6" s="43"/>
      <c r="LN6" s="43"/>
      <c r="LO6" s="43"/>
      <c r="LP6" s="43"/>
      <c r="LQ6" s="43"/>
      <c r="LR6" s="43"/>
      <c r="LS6" s="43"/>
      <c r="LT6" s="43"/>
      <c r="LU6" s="43"/>
      <c r="LV6" s="43"/>
      <c r="LW6" s="43"/>
      <c r="LX6" s="43"/>
      <c r="LY6" s="43"/>
      <c r="LZ6" s="43"/>
      <c r="MA6" s="43"/>
      <c r="MB6" s="43"/>
      <c r="MC6" s="43"/>
      <c r="MD6" s="43"/>
      <c r="ME6" s="43"/>
      <c r="MF6" s="43"/>
      <c r="MG6" s="43"/>
      <c r="MH6" s="43"/>
      <c r="MI6" s="43"/>
      <c r="MJ6" s="43"/>
      <c r="MK6" s="43"/>
      <c r="ML6" s="43"/>
      <c r="MM6" s="43"/>
      <c r="MN6" s="43"/>
      <c r="MO6" s="43"/>
      <c r="MP6" s="43"/>
      <c r="MQ6" s="43"/>
      <c r="MR6" s="43"/>
      <c r="MS6" s="43"/>
      <c r="MT6" s="43"/>
      <c r="MU6" s="43"/>
      <c r="MV6" s="43"/>
      <c r="MW6" s="43"/>
      <c r="MX6" s="43"/>
      <c r="MY6" s="43"/>
      <c r="MZ6" s="43"/>
      <c r="NA6" s="43"/>
      <c r="NB6" s="43"/>
      <c r="NC6" s="43"/>
      <c r="ND6" s="43"/>
      <c r="NE6" s="43"/>
      <c r="NF6" s="43"/>
      <c r="NG6" s="43"/>
      <c r="NH6" s="43"/>
      <c r="NI6" s="43"/>
      <c r="NJ6" s="43"/>
      <c r="NK6" s="43"/>
      <c r="NL6" s="43"/>
      <c r="NM6" s="43"/>
      <c r="NN6" s="43"/>
      <c r="NO6" s="43"/>
      <c r="NP6" s="43"/>
      <c r="NQ6" s="43"/>
      <c r="NR6" s="43"/>
      <c r="NS6" s="43"/>
      <c r="NT6" s="43"/>
      <c r="NU6" s="43"/>
      <c r="NV6" s="43"/>
      <c r="NW6" s="43"/>
      <c r="NX6" s="43"/>
      <c r="NY6" s="43"/>
      <c r="NZ6" s="43"/>
      <c r="OA6" s="43"/>
      <c r="OB6" s="43"/>
      <c r="OC6" s="43"/>
      <c r="OD6" s="43"/>
      <c r="OE6" s="43"/>
      <c r="OF6" s="43"/>
      <c r="OG6" s="43"/>
      <c r="OH6" s="43"/>
      <c r="OI6" s="43"/>
      <c r="OJ6" s="43"/>
      <c r="OK6" s="43"/>
      <c r="OL6" s="43"/>
      <c r="OM6" s="43"/>
      <c r="ON6" s="43"/>
      <c r="OO6" s="43"/>
      <c r="OP6" s="43"/>
      <c r="OQ6" s="43"/>
      <c r="OR6" s="43"/>
      <c r="OS6" s="43"/>
      <c r="OT6" s="43"/>
      <c r="OU6" s="43"/>
      <c r="OV6" s="43"/>
      <c r="OW6" s="43"/>
      <c r="OX6" s="43"/>
      <c r="OY6" s="43"/>
      <c r="OZ6" s="43"/>
      <c r="PA6" s="43"/>
      <c r="PB6" s="43"/>
      <c r="PC6" s="43"/>
      <c r="PD6" s="43"/>
      <c r="PE6" s="43"/>
      <c r="PF6" s="43"/>
      <c r="PG6" s="43"/>
      <c r="PH6" s="43"/>
      <c r="PI6" s="43"/>
      <c r="PJ6" s="43"/>
      <c r="PK6" s="43"/>
      <c r="PL6" s="43"/>
      <c r="PM6" s="43"/>
      <c r="PN6" s="43"/>
      <c r="PO6" s="43"/>
      <c r="PP6" s="43"/>
      <c r="PQ6" s="43"/>
      <c r="PR6" s="43"/>
      <c r="PS6" s="43"/>
      <c r="PT6" s="43"/>
      <c r="PU6" s="43"/>
      <c r="PV6" s="43"/>
      <c r="PW6" s="43"/>
      <c r="PX6" s="43"/>
      <c r="PY6" s="43"/>
      <c r="PZ6" s="43"/>
      <c r="QA6" s="43"/>
      <c r="QB6" s="43"/>
      <c r="QC6" s="43"/>
      <c r="QD6" s="43"/>
      <c r="QE6" s="43"/>
      <c r="QF6" s="43"/>
      <c r="QG6" s="43"/>
      <c r="QH6" s="43"/>
      <c r="QI6" s="43"/>
      <c r="QJ6" s="43"/>
      <c r="QK6" s="43"/>
      <c r="QL6" s="43"/>
      <c r="QM6" s="43"/>
      <c r="QN6" s="43"/>
      <c r="QO6" s="43"/>
      <c r="QP6" s="43"/>
      <c r="QQ6" s="43"/>
      <c r="QR6" s="43"/>
      <c r="QS6" s="43"/>
      <c r="QT6" s="43"/>
      <c r="QU6" s="43"/>
      <c r="QV6" s="43"/>
      <c r="QW6" s="43"/>
      <c r="QX6" s="43"/>
      <c r="QY6" s="43"/>
      <c r="QZ6" s="43"/>
      <c r="RA6" s="43"/>
      <c r="RB6" s="43"/>
      <c r="RC6" s="43"/>
      <c r="RD6" s="43"/>
      <c r="RE6" s="43"/>
      <c r="RF6" s="43"/>
      <c r="RG6" s="43"/>
      <c r="RH6" s="43"/>
      <c r="RI6" s="43"/>
      <c r="RJ6" s="43"/>
      <c r="RK6" s="43"/>
      <c r="RL6" s="43"/>
      <c r="RM6" s="43"/>
      <c r="RN6" s="43"/>
      <c r="RO6" s="43"/>
      <c r="RP6" s="43"/>
      <c r="RQ6" s="43"/>
      <c r="RR6" s="43"/>
      <c r="RS6" s="43"/>
      <c r="RT6" s="43"/>
      <c r="RU6" s="43"/>
      <c r="RV6" s="43"/>
      <c r="RW6" s="43"/>
      <c r="RX6" s="43"/>
      <c r="RY6" s="43"/>
      <c r="RZ6" s="43"/>
      <c r="SA6" s="43"/>
      <c r="SB6" s="43"/>
      <c r="SC6" s="43"/>
      <c r="SD6" s="43"/>
      <c r="SE6" s="43"/>
      <c r="SF6" s="43"/>
      <c r="SG6" s="43"/>
      <c r="SH6" s="43"/>
      <c r="SI6" s="43"/>
      <c r="SJ6" s="43"/>
      <c r="SK6" s="43"/>
      <c r="SL6" s="43"/>
      <c r="SM6" s="43"/>
      <c r="SN6" s="43"/>
      <c r="SO6" s="43"/>
      <c r="SP6" s="43"/>
      <c r="SQ6" s="43"/>
      <c r="SR6" s="43"/>
      <c r="SS6" s="43"/>
      <c r="ST6" s="43"/>
      <c r="SU6" s="43"/>
      <c r="SV6" s="43"/>
      <c r="SW6" s="43"/>
      <c r="SX6" s="43"/>
      <c r="SY6" s="43"/>
      <c r="SZ6" s="43"/>
      <c r="TA6" s="43"/>
      <c r="TB6" s="43"/>
      <c r="TC6" s="43"/>
      <c r="TD6" s="43"/>
      <c r="TE6" s="43"/>
      <c r="TF6" s="43"/>
      <c r="TG6" s="43"/>
      <c r="TH6" s="43"/>
      <c r="TI6" s="43"/>
      <c r="TJ6" s="43"/>
      <c r="TK6" s="43"/>
      <c r="TL6" s="43"/>
      <c r="TM6" s="43"/>
      <c r="TN6" s="43"/>
      <c r="TO6" s="43"/>
      <c r="TP6" s="43"/>
      <c r="TQ6" s="43"/>
      <c r="TR6" s="43"/>
      <c r="TS6" s="43"/>
      <c r="TT6" s="43"/>
      <c r="TU6" s="43"/>
      <c r="TV6" s="43"/>
      <c r="TW6" s="43"/>
      <c r="TX6" s="43"/>
      <c r="TY6" s="43"/>
      <c r="TZ6" s="43"/>
      <c r="UA6" s="43"/>
      <c r="UB6" s="43"/>
      <c r="UC6" s="43"/>
      <c r="UD6" s="43"/>
      <c r="UE6" s="43"/>
      <c r="UF6" s="43"/>
      <c r="UG6" s="43"/>
      <c r="UH6" s="43"/>
      <c r="UI6" s="43"/>
      <c r="UJ6" s="43"/>
      <c r="UK6" s="43"/>
      <c r="UL6" s="43"/>
      <c r="UM6" s="43"/>
      <c r="UN6" s="43"/>
      <c r="UO6" s="43"/>
      <c r="UP6" s="43"/>
      <c r="UQ6" s="43"/>
      <c r="UR6" s="43"/>
      <c r="US6" s="43"/>
      <c r="UT6" s="43"/>
      <c r="UU6" s="43"/>
      <c r="UV6" s="43"/>
      <c r="UW6" s="43"/>
      <c r="UX6" s="43"/>
      <c r="UY6" s="43"/>
      <c r="UZ6" s="43"/>
      <c r="VA6" s="43"/>
      <c r="VB6" s="43"/>
      <c r="VC6" s="43"/>
      <c r="VD6" s="43"/>
      <c r="VE6" s="43"/>
      <c r="VF6" s="43"/>
      <c r="VG6" s="43"/>
      <c r="VH6" s="43"/>
      <c r="VI6" s="43"/>
      <c r="VJ6" s="43"/>
      <c r="VK6" s="43"/>
      <c r="VL6" s="43"/>
      <c r="VM6" s="43"/>
      <c r="VN6" s="43"/>
      <c r="VO6" s="43"/>
      <c r="VP6" s="43"/>
      <c r="VQ6" s="43"/>
      <c r="VR6" s="43"/>
      <c r="VS6" s="43"/>
      <c r="VT6" s="43"/>
      <c r="VU6" s="43"/>
      <c r="VV6" s="43"/>
      <c r="VW6" s="43"/>
      <c r="VX6" s="43"/>
      <c r="VY6" s="43"/>
      <c r="VZ6" s="43"/>
      <c r="WA6" s="43"/>
      <c r="WB6" s="43"/>
      <c r="WC6" s="43"/>
      <c r="WD6" s="43"/>
      <c r="WE6" s="43"/>
      <c r="WF6" s="43"/>
      <c r="WG6" s="43"/>
      <c r="WH6" s="43"/>
      <c r="WI6" s="43"/>
      <c r="WJ6" s="43"/>
      <c r="WK6" s="43"/>
      <c r="WL6" s="43"/>
      <c r="WM6" s="43"/>
      <c r="WN6" s="43"/>
      <c r="WO6" s="43"/>
      <c r="WP6" s="43"/>
      <c r="WQ6" s="43"/>
      <c r="WR6" s="43"/>
      <c r="WS6" s="43"/>
      <c r="WT6" s="43"/>
      <c r="WU6" s="43"/>
      <c r="WV6" s="43"/>
      <c r="WW6" s="43"/>
      <c r="WX6" s="43"/>
      <c r="WY6" s="43"/>
      <c r="WZ6" s="43"/>
      <c r="XA6" s="43"/>
      <c r="XB6" s="43"/>
      <c r="XC6" s="43"/>
      <c r="XD6" s="43"/>
      <c r="XE6" s="43"/>
      <c r="XF6" s="43"/>
      <c r="XG6" s="43"/>
      <c r="XH6" s="43"/>
      <c r="XI6" s="43"/>
      <c r="XJ6" s="43"/>
      <c r="XK6" s="43"/>
      <c r="XL6" s="43"/>
      <c r="XM6" s="43"/>
      <c r="XN6" s="43"/>
      <c r="XO6" s="43"/>
      <c r="XP6" s="43"/>
      <c r="XQ6" s="43"/>
      <c r="XR6" s="43"/>
      <c r="XS6" s="43"/>
      <c r="XT6" s="43"/>
      <c r="XU6" s="43"/>
      <c r="XV6" s="43"/>
      <c r="XW6" s="43"/>
      <c r="XX6" s="43"/>
      <c r="XY6" s="43"/>
      <c r="XZ6" s="43"/>
      <c r="YA6" s="43"/>
      <c r="YB6" s="43"/>
      <c r="YC6" s="43"/>
      <c r="YD6" s="43"/>
      <c r="YE6" s="43"/>
      <c r="YF6" s="43"/>
      <c r="YG6" s="43"/>
      <c r="YH6" s="43"/>
      <c r="YI6" s="43"/>
      <c r="YJ6" s="43"/>
      <c r="YK6" s="43"/>
      <c r="YL6" s="43"/>
      <c r="YM6" s="43"/>
      <c r="YN6" s="43"/>
      <c r="YO6" s="43"/>
      <c r="YP6" s="43"/>
      <c r="YQ6" s="43"/>
      <c r="YR6" s="43"/>
      <c r="YS6" s="43"/>
      <c r="YT6" s="43"/>
      <c r="YU6" s="43"/>
      <c r="YV6" s="43"/>
      <c r="YW6" s="43"/>
      <c r="YX6" s="43"/>
      <c r="YY6" s="43"/>
      <c r="YZ6" s="43"/>
      <c r="ZA6" s="43"/>
      <c r="ZB6" s="43"/>
      <c r="ZC6" s="43"/>
      <c r="ZD6" s="43"/>
      <c r="ZE6" s="43"/>
      <c r="ZF6" s="43"/>
      <c r="ZG6" s="43"/>
      <c r="ZH6" s="43"/>
      <c r="ZI6" s="43"/>
      <c r="ZJ6" s="43"/>
      <c r="ZK6" s="43"/>
      <c r="ZL6" s="43"/>
      <c r="ZM6" s="43"/>
      <c r="ZN6" s="43"/>
      <c r="ZO6" s="43"/>
      <c r="ZP6" s="43"/>
      <c r="ZQ6" s="43"/>
      <c r="ZR6" s="43"/>
      <c r="ZS6" s="43"/>
      <c r="ZT6" s="43"/>
      <c r="ZU6" s="43"/>
      <c r="ZV6" s="43"/>
      <c r="ZW6" s="43"/>
      <c r="ZX6" s="43"/>
      <c r="ZY6" s="43"/>
      <c r="ZZ6" s="43"/>
      <c r="AAA6" s="43"/>
      <c r="AAB6" s="43"/>
      <c r="AAC6" s="43"/>
      <c r="AAD6" s="43"/>
      <c r="AAE6" s="43"/>
      <c r="AAF6" s="43"/>
      <c r="AAG6" s="43"/>
      <c r="AAH6" s="43"/>
      <c r="AAI6" s="43"/>
      <c r="AAJ6" s="43"/>
      <c r="AAK6" s="43"/>
      <c r="AAL6" s="43"/>
      <c r="AAM6" s="43"/>
      <c r="AAN6" s="43"/>
      <c r="AAO6" s="43"/>
      <c r="AAP6" s="43"/>
      <c r="AAQ6" s="43"/>
      <c r="AAR6" s="43"/>
      <c r="AAS6" s="43"/>
      <c r="AAT6" s="43"/>
      <c r="AAU6" s="43"/>
      <c r="AAV6" s="43"/>
      <c r="AAW6" s="43"/>
      <c r="AAX6" s="43"/>
      <c r="AAY6" s="43"/>
      <c r="AAZ6" s="43"/>
      <c r="ABA6" s="43"/>
      <c r="ABB6" s="43"/>
      <c r="ABC6" s="43"/>
      <c r="ABD6" s="43"/>
      <c r="ABE6" s="43"/>
      <c r="ABF6" s="43"/>
      <c r="ABG6" s="43"/>
      <c r="ABH6" s="43"/>
      <c r="ABI6" s="43"/>
      <c r="ABJ6" s="43"/>
      <c r="ABK6" s="43"/>
      <c r="ABL6" s="43"/>
      <c r="ABM6" s="43"/>
      <c r="ABN6" s="43"/>
      <c r="ABO6" s="43"/>
      <c r="ABP6" s="43"/>
      <c r="ABQ6" s="43"/>
      <c r="ABR6" s="43"/>
      <c r="ABS6" s="43"/>
      <c r="ABT6" s="43"/>
      <c r="ABU6" s="43"/>
      <c r="ABV6" s="43"/>
      <c r="ABW6" s="43"/>
      <c r="ABX6" s="43"/>
      <c r="ABY6" s="43"/>
      <c r="ABZ6" s="43"/>
      <c r="ACA6" s="43"/>
      <c r="ACB6" s="43"/>
      <c r="ACC6" s="43"/>
      <c r="ACD6" s="43"/>
      <c r="ACE6" s="43"/>
      <c r="ACF6" s="43"/>
      <c r="ACG6" s="43"/>
      <c r="ACH6" s="43"/>
      <c r="ACI6" s="43"/>
      <c r="ACJ6" s="43"/>
      <c r="ACK6" s="43"/>
      <c r="ACL6" s="43"/>
      <c r="ACM6" s="43"/>
      <c r="ACN6" s="43"/>
      <c r="ACO6" s="43"/>
      <c r="ACP6" s="43"/>
      <c r="ACQ6" s="43"/>
      <c r="ACR6" s="43"/>
      <c r="ACS6" s="43"/>
      <c r="ACT6" s="43"/>
      <c r="ACU6" s="43"/>
      <c r="ACV6" s="43"/>
      <c r="ACW6" s="43"/>
      <c r="ACX6" s="43"/>
      <c r="ACY6" s="43"/>
      <c r="ACZ6" s="43"/>
      <c r="ADA6" s="43"/>
      <c r="ADB6" s="43"/>
      <c r="ADC6" s="43"/>
      <c r="ADD6" s="43"/>
      <c r="ADE6" s="43"/>
      <c r="ADF6" s="43"/>
      <c r="ADG6" s="43"/>
      <c r="ADH6" s="43"/>
      <c r="ADI6" s="43"/>
      <c r="ADJ6" s="43"/>
      <c r="ADK6" s="43"/>
      <c r="ADL6" s="43"/>
      <c r="ADM6" s="43"/>
      <c r="ADN6" s="43"/>
      <c r="ADO6" s="43"/>
      <c r="ADP6" s="43"/>
      <c r="ADQ6" s="43"/>
      <c r="ADR6" s="43"/>
      <c r="ADS6" s="43"/>
      <c r="ADT6" s="43"/>
      <c r="ADU6" s="43"/>
      <c r="ADV6" s="43"/>
      <c r="ADW6" s="43"/>
      <c r="ADX6" s="43"/>
      <c r="ADY6" s="43"/>
      <c r="ADZ6" s="43"/>
      <c r="AEA6" s="43"/>
      <c r="AEB6" s="43"/>
      <c r="AEC6" s="43"/>
      <c r="AED6" s="43"/>
      <c r="AEE6" s="43"/>
      <c r="AEF6" s="43"/>
      <c r="AEG6" s="43"/>
      <c r="AEH6" s="43"/>
      <c r="AEI6" s="43"/>
      <c r="AEJ6" s="43"/>
      <c r="AEK6" s="43"/>
      <c r="AEL6" s="43"/>
      <c r="AEM6" s="43"/>
      <c r="AEN6" s="43"/>
      <c r="AEO6" s="43"/>
      <c r="AEP6" s="43"/>
      <c r="AEQ6" s="43"/>
      <c r="AER6" s="43"/>
      <c r="AES6" s="43"/>
      <c r="AET6" s="43"/>
      <c r="AEU6" s="43"/>
      <c r="AEV6" s="43"/>
      <c r="AEW6" s="43"/>
      <c r="AEX6" s="43"/>
      <c r="AEY6" s="43"/>
      <c r="AEZ6" s="43"/>
      <c r="AFA6" s="43"/>
      <c r="AFB6" s="43"/>
      <c r="AFC6" s="43"/>
      <c r="AFD6" s="43"/>
      <c r="AFE6" s="43"/>
      <c r="AFF6" s="43"/>
      <c r="AFG6" s="43"/>
      <c r="AFH6" s="43"/>
    </row>
    <row r="7" spans="1:840" ht="25.5" customHeight="1">
      <c r="A7" s="502" t="s">
        <v>220</v>
      </c>
      <c r="B7" s="502"/>
      <c r="C7" s="502"/>
      <c r="D7" s="502"/>
      <c r="E7" s="502"/>
      <c r="F7" s="502"/>
      <c r="G7" s="502"/>
      <c r="H7" s="502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  <c r="HU7" s="43"/>
      <c r="HV7" s="43"/>
      <c r="HW7" s="43"/>
      <c r="HX7" s="43"/>
      <c r="HY7" s="43"/>
      <c r="HZ7" s="43"/>
      <c r="IA7" s="43"/>
      <c r="IB7" s="43"/>
      <c r="IC7" s="43"/>
      <c r="ID7" s="43"/>
      <c r="IE7" s="43"/>
      <c r="IF7" s="43"/>
      <c r="IG7" s="43"/>
      <c r="IH7" s="43"/>
      <c r="II7" s="43"/>
      <c r="IJ7" s="43"/>
      <c r="IK7" s="43"/>
      <c r="IL7" s="43"/>
      <c r="IM7" s="43"/>
      <c r="IN7" s="43"/>
      <c r="IO7" s="43"/>
      <c r="IP7" s="43"/>
      <c r="IQ7" s="43"/>
      <c r="IR7" s="43"/>
      <c r="IS7" s="43"/>
      <c r="IT7" s="43"/>
      <c r="IU7" s="43"/>
      <c r="IV7" s="43"/>
      <c r="IW7" s="43"/>
      <c r="IX7" s="43"/>
      <c r="IY7" s="43"/>
      <c r="IZ7" s="43"/>
      <c r="JA7" s="43"/>
      <c r="JB7" s="43"/>
      <c r="JC7" s="43"/>
      <c r="JD7" s="43"/>
      <c r="JE7" s="43"/>
      <c r="JF7" s="43"/>
      <c r="JG7" s="43"/>
      <c r="JH7" s="43"/>
      <c r="JI7" s="43"/>
      <c r="JJ7" s="43"/>
      <c r="JK7" s="43"/>
      <c r="JL7" s="43"/>
      <c r="JM7" s="43"/>
      <c r="JN7" s="43"/>
      <c r="JO7" s="43"/>
      <c r="JP7" s="43"/>
      <c r="JQ7" s="43"/>
      <c r="JR7" s="43"/>
      <c r="JS7" s="43"/>
      <c r="JT7" s="43"/>
      <c r="JU7" s="43"/>
      <c r="JV7" s="43"/>
      <c r="JW7" s="43"/>
      <c r="JX7" s="43"/>
      <c r="JY7" s="43"/>
      <c r="JZ7" s="43"/>
      <c r="KA7" s="43"/>
      <c r="KB7" s="43"/>
      <c r="KC7" s="43"/>
      <c r="KD7" s="43"/>
      <c r="KE7" s="43"/>
      <c r="KF7" s="43"/>
      <c r="KG7" s="43"/>
      <c r="KH7" s="43"/>
      <c r="KI7" s="43"/>
      <c r="KJ7" s="43"/>
      <c r="KK7" s="43"/>
      <c r="KL7" s="43"/>
      <c r="KM7" s="43"/>
      <c r="KN7" s="43"/>
      <c r="KO7" s="43"/>
      <c r="KP7" s="43"/>
      <c r="KQ7" s="43"/>
      <c r="KR7" s="43"/>
      <c r="KS7" s="43"/>
      <c r="KT7" s="43"/>
      <c r="KU7" s="43"/>
      <c r="KV7" s="43"/>
      <c r="KW7" s="43"/>
      <c r="KX7" s="43"/>
      <c r="KY7" s="43"/>
      <c r="KZ7" s="43"/>
      <c r="LA7" s="43"/>
      <c r="LB7" s="43"/>
      <c r="LC7" s="43"/>
      <c r="LD7" s="43"/>
      <c r="LE7" s="43"/>
      <c r="LF7" s="43"/>
      <c r="LG7" s="43"/>
      <c r="LH7" s="43"/>
      <c r="LI7" s="43"/>
      <c r="LJ7" s="43"/>
      <c r="LK7" s="43"/>
      <c r="LL7" s="43"/>
      <c r="LM7" s="43"/>
      <c r="LN7" s="43"/>
      <c r="LO7" s="43"/>
      <c r="LP7" s="43"/>
      <c r="LQ7" s="43"/>
      <c r="LR7" s="43"/>
      <c r="LS7" s="43"/>
      <c r="LT7" s="43"/>
      <c r="LU7" s="43"/>
      <c r="LV7" s="43"/>
      <c r="LW7" s="43"/>
      <c r="LX7" s="43"/>
      <c r="LY7" s="43"/>
      <c r="LZ7" s="43"/>
      <c r="MA7" s="43"/>
      <c r="MB7" s="43"/>
      <c r="MC7" s="43"/>
      <c r="MD7" s="43"/>
      <c r="ME7" s="43"/>
      <c r="MF7" s="43"/>
      <c r="MG7" s="43"/>
      <c r="MH7" s="43"/>
      <c r="MI7" s="43"/>
      <c r="MJ7" s="43"/>
      <c r="MK7" s="43"/>
      <c r="ML7" s="43"/>
      <c r="MM7" s="43"/>
      <c r="MN7" s="43"/>
      <c r="MO7" s="43"/>
      <c r="MP7" s="43"/>
      <c r="MQ7" s="43"/>
      <c r="MR7" s="43"/>
      <c r="MS7" s="43"/>
      <c r="MT7" s="43"/>
      <c r="MU7" s="43"/>
      <c r="MV7" s="43"/>
      <c r="MW7" s="43"/>
      <c r="MX7" s="43"/>
      <c r="MY7" s="43"/>
      <c r="MZ7" s="43"/>
      <c r="NA7" s="43"/>
      <c r="NB7" s="43"/>
      <c r="NC7" s="43"/>
      <c r="ND7" s="43"/>
      <c r="NE7" s="43"/>
      <c r="NF7" s="43"/>
      <c r="NG7" s="43"/>
      <c r="NH7" s="43"/>
      <c r="NI7" s="43"/>
      <c r="NJ7" s="43"/>
      <c r="NK7" s="43"/>
      <c r="NL7" s="43"/>
      <c r="NM7" s="43"/>
      <c r="NN7" s="43"/>
      <c r="NO7" s="43"/>
      <c r="NP7" s="43"/>
      <c r="NQ7" s="43"/>
      <c r="NR7" s="43"/>
      <c r="NS7" s="43"/>
      <c r="NT7" s="43"/>
      <c r="NU7" s="43"/>
      <c r="NV7" s="43"/>
      <c r="NW7" s="43"/>
      <c r="NX7" s="43"/>
      <c r="NY7" s="43"/>
      <c r="NZ7" s="43"/>
      <c r="OA7" s="43"/>
      <c r="OB7" s="43"/>
      <c r="OC7" s="43"/>
      <c r="OD7" s="43"/>
      <c r="OE7" s="43"/>
      <c r="OF7" s="43"/>
      <c r="OG7" s="43"/>
      <c r="OH7" s="43"/>
      <c r="OI7" s="43"/>
      <c r="OJ7" s="43"/>
      <c r="OK7" s="43"/>
      <c r="OL7" s="43"/>
      <c r="OM7" s="43"/>
      <c r="ON7" s="43"/>
      <c r="OO7" s="43"/>
      <c r="OP7" s="43"/>
      <c r="OQ7" s="43"/>
      <c r="OR7" s="43"/>
      <c r="OS7" s="43"/>
      <c r="OT7" s="43"/>
      <c r="OU7" s="43"/>
      <c r="OV7" s="43"/>
      <c r="OW7" s="43"/>
      <c r="OX7" s="43"/>
      <c r="OY7" s="43"/>
      <c r="OZ7" s="43"/>
      <c r="PA7" s="43"/>
      <c r="PB7" s="43"/>
      <c r="PC7" s="43"/>
      <c r="PD7" s="43"/>
      <c r="PE7" s="43"/>
      <c r="PF7" s="43"/>
      <c r="PG7" s="43"/>
      <c r="PH7" s="43"/>
      <c r="PI7" s="43"/>
      <c r="PJ7" s="43"/>
      <c r="PK7" s="43"/>
      <c r="PL7" s="43"/>
      <c r="PM7" s="43"/>
      <c r="PN7" s="43"/>
      <c r="PO7" s="43"/>
      <c r="PP7" s="43"/>
      <c r="PQ7" s="43"/>
      <c r="PR7" s="43"/>
      <c r="PS7" s="43"/>
      <c r="PT7" s="43"/>
      <c r="PU7" s="43"/>
      <c r="PV7" s="43"/>
      <c r="PW7" s="43"/>
      <c r="PX7" s="43"/>
      <c r="PY7" s="43"/>
      <c r="PZ7" s="43"/>
      <c r="QA7" s="43"/>
      <c r="QB7" s="43"/>
      <c r="QC7" s="43"/>
      <c r="QD7" s="43"/>
      <c r="QE7" s="43"/>
      <c r="QF7" s="43"/>
      <c r="QG7" s="43"/>
      <c r="QH7" s="43"/>
      <c r="QI7" s="43"/>
      <c r="QJ7" s="43"/>
      <c r="QK7" s="43"/>
      <c r="QL7" s="43"/>
      <c r="QM7" s="43"/>
      <c r="QN7" s="43"/>
      <c r="QO7" s="43"/>
      <c r="QP7" s="43"/>
      <c r="QQ7" s="43"/>
      <c r="QR7" s="43"/>
      <c r="QS7" s="43"/>
      <c r="QT7" s="43"/>
      <c r="QU7" s="43"/>
      <c r="QV7" s="43"/>
      <c r="QW7" s="43"/>
      <c r="QX7" s="43"/>
      <c r="QY7" s="43"/>
      <c r="QZ7" s="43"/>
      <c r="RA7" s="43"/>
      <c r="RB7" s="43"/>
      <c r="RC7" s="43"/>
      <c r="RD7" s="43"/>
      <c r="RE7" s="43"/>
      <c r="RF7" s="43"/>
      <c r="RG7" s="43"/>
      <c r="RH7" s="43"/>
      <c r="RI7" s="43"/>
      <c r="RJ7" s="43"/>
      <c r="RK7" s="43"/>
      <c r="RL7" s="43"/>
      <c r="RM7" s="43"/>
      <c r="RN7" s="43"/>
      <c r="RO7" s="43"/>
      <c r="RP7" s="43"/>
      <c r="RQ7" s="43"/>
      <c r="RR7" s="43"/>
      <c r="RS7" s="43"/>
      <c r="RT7" s="43"/>
      <c r="RU7" s="43"/>
      <c r="RV7" s="43"/>
      <c r="RW7" s="43"/>
      <c r="RX7" s="43"/>
      <c r="RY7" s="43"/>
      <c r="RZ7" s="43"/>
      <c r="SA7" s="43"/>
      <c r="SB7" s="43"/>
      <c r="SC7" s="43"/>
      <c r="SD7" s="43"/>
      <c r="SE7" s="43"/>
      <c r="SF7" s="43"/>
      <c r="SG7" s="43"/>
      <c r="SH7" s="43"/>
      <c r="SI7" s="43"/>
      <c r="SJ7" s="43"/>
      <c r="SK7" s="43"/>
      <c r="SL7" s="43"/>
      <c r="SM7" s="43"/>
      <c r="SN7" s="43"/>
      <c r="SO7" s="43"/>
      <c r="SP7" s="43"/>
      <c r="SQ7" s="43"/>
      <c r="SR7" s="43"/>
      <c r="SS7" s="43"/>
      <c r="ST7" s="43"/>
      <c r="SU7" s="43"/>
      <c r="SV7" s="43"/>
      <c r="SW7" s="43"/>
      <c r="SX7" s="43"/>
      <c r="SY7" s="43"/>
      <c r="SZ7" s="43"/>
      <c r="TA7" s="43"/>
      <c r="TB7" s="43"/>
      <c r="TC7" s="43"/>
      <c r="TD7" s="43"/>
      <c r="TE7" s="43"/>
      <c r="TF7" s="43"/>
      <c r="TG7" s="43"/>
      <c r="TH7" s="43"/>
      <c r="TI7" s="43"/>
      <c r="TJ7" s="43"/>
      <c r="TK7" s="43"/>
      <c r="TL7" s="43"/>
      <c r="TM7" s="43"/>
      <c r="TN7" s="43"/>
      <c r="TO7" s="43"/>
      <c r="TP7" s="43"/>
      <c r="TQ7" s="43"/>
      <c r="TR7" s="43"/>
      <c r="TS7" s="43"/>
      <c r="TT7" s="43"/>
      <c r="TU7" s="43"/>
      <c r="TV7" s="43"/>
      <c r="TW7" s="43"/>
      <c r="TX7" s="43"/>
      <c r="TY7" s="43"/>
      <c r="TZ7" s="43"/>
      <c r="UA7" s="43"/>
      <c r="UB7" s="43"/>
      <c r="UC7" s="43"/>
      <c r="UD7" s="43"/>
      <c r="UE7" s="43"/>
      <c r="UF7" s="43"/>
      <c r="UG7" s="43"/>
      <c r="UH7" s="43"/>
      <c r="UI7" s="43"/>
      <c r="UJ7" s="43"/>
      <c r="UK7" s="43"/>
      <c r="UL7" s="43"/>
      <c r="UM7" s="43"/>
      <c r="UN7" s="43"/>
      <c r="UO7" s="43"/>
      <c r="UP7" s="43"/>
      <c r="UQ7" s="43"/>
      <c r="UR7" s="43"/>
      <c r="US7" s="43"/>
      <c r="UT7" s="43"/>
      <c r="UU7" s="43"/>
      <c r="UV7" s="43"/>
      <c r="UW7" s="43"/>
      <c r="UX7" s="43"/>
      <c r="UY7" s="43"/>
      <c r="UZ7" s="43"/>
      <c r="VA7" s="43"/>
      <c r="VB7" s="43"/>
      <c r="VC7" s="43"/>
      <c r="VD7" s="43"/>
      <c r="VE7" s="43"/>
      <c r="VF7" s="43"/>
      <c r="VG7" s="43"/>
      <c r="VH7" s="43"/>
      <c r="VI7" s="43"/>
      <c r="VJ7" s="43"/>
      <c r="VK7" s="43"/>
      <c r="VL7" s="43"/>
      <c r="VM7" s="43"/>
      <c r="VN7" s="43"/>
      <c r="VO7" s="43"/>
      <c r="VP7" s="43"/>
      <c r="VQ7" s="43"/>
      <c r="VR7" s="43"/>
      <c r="VS7" s="43"/>
      <c r="VT7" s="43"/>
      <c r="VU7" s="43"/>
      <c r="VV7" s="43"/>
      <c r="VW7" s="43"/>
      <c r="VX7" s="43"/>
      <c r="VY7" s="43"/>
      <c r="VZ7" s="43"/>
      <c r="WA7" s="43"/>
      <c r="WB7" s="43"/>
      <c r="WC7" s="43"/>
      <c r="WD7" s="43"/>
      <c r="WE7" s="43"/>
      <c r="WF7" s="43"/>
      <c r="WG7" s="43"/>
      <c r="WH7" s="43"/>
      <c r="WI7" s="43"/>
      <c r="WJ7" s="43"/>
      <c r="WK7" s="43"/>
      <c r="WL7" s="43"/>
      <c r="WM7" s="43"/>
      <c r="WN7" s="43"/>
      <c r="WO7" s="43"/>
      <c r="WP7" s="43"/>
      <c r="WQ7" s="43"/>
      <c r="WR7" s="43"/>
      <c r="WS7" s="43"/>
      <c r="WT7" s="43"/>
      <c r="WU7" s="43"/>
      <c r="WV7" s="43"/>
      <c r="WW7" s="43"/>
      <c r="WX7" s="43"/>
      <c r="WY7" s="43"/>
      <c r="WZ7" s="43"/>
      <c r="XA7" s="43"/>
      <c r="XB7" s="43"/>
      <c r="XC7" s="43"/>
      <c r="XD7" s="43"/>
      <c r="XE7" s="43"/>
      <c r="XF7" s="43"/>
      <c r="XG7" s="43"/>
      <c r="XH7" s="43"/>
      <c r="XI7" s="43"/>
      <c r="XJ7" s="43"/>
      <c r="XK7" s="43"/>
      <c r="XL7" s="43"/>
      <c r="XM7" s="43"/>
      <c r="XN7" s="43"/>
      <c r="XO7" s="43"/>
      <c r="XP7" s="43"/>
      <c r="XQ7" s="43"/>
      <c r="XR7" s="43"/>
      <c r="XS7" s="43"/>
      <c r="XT7" s="43"/>
      <c r="XU7" s="43"/>
      <c r="XV7" s="43"/>
      <c r="XW7" s="43"/>
      <c r="XX7" s="43"/>
      <c r="XY7" s="43"/>
      <c r="XZ7" s="43"/>
      <c r="YA7" s="43"/>
      <c r="YB7" s="43"/>
      <c r="YC7" s="43"/>
      <c r="YD7" s="43"/>
      <c r="YE7" s="43"/>
      <c r="YF7" s="43"/>
      <c r="YG7" s="43"/>
      <c r="YH7" s="43"/>
      <c r="YI7" s="43"/>
      <c r="YJ7" s="43"/>
      <c r="YK7" s="43"/>
      <c r="YL7" s="43"/>
      <c r="YM7" s="43"/>
      <c r="YN7" s="43"/>
      <c r="YO7" s="43"/>
      <c r="YP7" s="43"/>
      <c r="YQ7" s="43"/>
      <c r="YR7" s="43"/>
      <c r="YS7" s="43"/>
      <c r="YT7" s="43"/>
      <c r="YU7" s="43"/>
      <c r="YV7" s="43"/>
      <c r="YW7" s="43"/>
      <c r="YX7" s="43"/>
      <c r="YY7" s="43"/>
      <c r="YZ7" s="43"/>
      <c r="ZA7" s="43"/>
      <c r="ZB7" s="43"/>
      <c r="ZC7" s="43"/>
      <c r="ZD7" s="43"/>
      <c r="ZE7" s="43"/>
      <c r="ZF7" s="43"/>
      <c r="ZG7" s="43"/>
      <c r="ZH7" s="43"/>
      <c r="ZI7" s="43"/>
      <c r="ZJ7" s="43"/>
      <c r="ZK7" s="43"/>
      <c r="ZL7" s="43"/>
      <c r="ZM7" s="43"/>
      <c r="ZN7" s="43"/>
      <c r="ZO7" s="43"/>
      <c r="ZP7" s="43"/>
      <c r="ZQ7" s="43"/>
      <c r="ZR7" s="43"/>
      <c r="ZS7" s="43"/>
      <c r="ZT7" s="43"/>
      <c r="ZU7" s="43"/>
      <c r="ZV7" s="43"/>
      <c r="ZW7" s="43"/>
      <c r="ZX7" s="43"/>
      <c r="ZY7" s="43"/>
      <c r="ZZ7" s="43"/>
      <c r="AAA7" s="43"/>
      <c r="AAB7" s="43"/>
      <c r="AAC7" s="43"/>
      <c r="AAD7" s="43"/>
      <c r="AAE7" s="43"/>
      <c r="AAF7" s="43"/>
      <c r="AAG7" s="43"/>
      <c r="AAH7" s="43"/>
      <c r="AAI7" s="43"/>
      <c r="AAJ7" s="43"/>
      <c r="AAK7" s="43"/>
      <c r="AAL7" s="43"/>
      <c r="AAM7" s="43"/>
      <c r="AAN7" s="43"/>
      <c r="AAO7" s="43"/>
      <c r="AAP7" s="43"/>
      <c r="AAQ7" s="43"/>
      <c r="AAR7" s="43"/>
      <c r="AAS7" s="43"/>
      <c r="AAT7" s="43"/>
      <c r="AAU7" s="43"/>
      <c r="AAV7" s="43"/>
      <c r="AAW7" s="43"/>
      <c r="AAX7" s="43"/>
      <c r="AAY7" s="43"/>
      <c r="AAZ7" s="43"/>
      <c r="ABA7" s="43"/>
      <c r="ABB7" s="43"/>
      <c r="ABC7" s="43"/>
      <c r="ABD7" s="43"/>
      <c r="ABE7" s="43"/>
      <c r="ABF7" s="43"/>
      <c r="ABG7" s="43"/>
      <c r="ABH7" s="43"/>
      <c r="ABI7" s="43"/>
      <c r="ABJ7" s="43"/>
      <c r="ABK7" s="43"/>
      <c r="ABL7" s="43"/>
      <c r="ABM7" s="43"/>
      <c r="ABN7" s="43"/>
      <c r="ABO7" s="43"/>
      <c r="ABP7" s="43"/>
      <c r="ABQ7" s="43"/>
      <c r="ABR7" s="43"/>
      <c r="ABS7" s="43"/>
      <c r="ABT7" s="43"/>
      <c r="ABU7" s="43"/>
      <c r="ABV7" s="43"/>
      <c r="ABW7" s="43"/>
      <c r="ABX7" s="43"/>
      <c r="ABY7" s="43"/>
      <c r="ABZ7" s="43"/>
      <c r="ACA7" s="43"/>
      <c r="ACB7" s="43"/>
      <c r="ACC7" s="43"/>
      <c r="ACD7" s="43"/>
      <c r="ACE7" s="43"/>
      <c r="ACF7" s="43"/>
      <c r="ACG7" s="43"/>
      <c r="ACH7" s="43"/>
      <c r="ACI7" s="43"/>
      <c r="ACJ7" s="43"/>
      <c r="ACK7" s="43"/>
      <c r="ACL7" s="43"/>
      <c r="ACM7" s="43"/>
      <c r="ACN7" s="43"/>
      <c r="ACO7" s="43"/>
      <c r="ACP7" s="43"/>
      <c r="ACQ7" s="43"/>
      <c r="ACR7" s="43"/>
      <c r="ACS7" s="43"/>
      <c r="ACT7" s="43"/>
      <c r="ACU7" s="43"/>
      <c r="ACV7" s="43"/>
      <c r="ACW7" s="43"/>
      <c r="ACX7" s="43"/>
      <c r="ACY7" s="43"/>
      <c r="ACZ7" s="43"/>
      <c r="ADA7" s="43"/>
      <c r="ADB7" s="43"/>
      <c r="ADC7" s="43"/>
      <c r="ADD7" s="43"/>
      <c r="ADE7" s="43"/>
      <c r="ADF7" s="43"/>
      <c r="ADG7" s="43"/>
      <c r="ADH7" s="43"/>
      <c r="ADI7" s="43"/>
      <c r="ADJ7" s="43"/>
      <c r="ADK7" s="43"/>
      <c r="ADL7" s="43"/>
      <c r="ADM7" s="43"/>
      <c r="ADN7" s="43"/>
      <c r="ADO7" s="43"/>
      <c r="ADP7" s="43"/>
      <c r="ADQ7" s="43"/>
      <c r="ADR7" s="43"/>
      <c r="ADS7" s="43"/>
      <c r="ADT7" s="43"/>
      <c r="ADU7" s="43"/>
      <c r="ADV7" s="43"/>
      <c r="ADW7" s="43"/>
      <c r="ADX7" s="43"/>
      <c r="ADY7" s="43"/>
      <c r="ADZ7" s="43"/>
      <c r="AEA7" s="43"/>
      <c r="AEB7" s="43"/>
      <c r="AEC7" s="43"/>
      <c r="AED7" s="43"/>
      <c r="AEE7" s="43"/>
      <c r="AEF7" s="43"/>
      <c r="AEG7" s="43"/>
      <c r="AEH7" s="43"/>
      <c r="AEI7" s="43"/>
      <c r="AEJ7" s="43"/>
      <c r="AEK7" s="43"/>
      <c r="AEL7" s="43"/>
      <c r="AEM7" s="43"/>
      <c r="AEN7" s="43"/>
      <c r="AEO7" s="43"/>
      <c r="AEP7" s="43"/>
      <c r="AEQ7" s="43"/>
      <c r="AER7" s="43"/>
      <c r="AES7" s="43"/>
      <c r="AET7" s="43"/>
      <c r="AEU7" s="43"/>
      <c r="AEV7" s="43"/>
      <c r="AEW7" s="43"/>
      <c r="AEX7" s="43"/>
      <c r="AEY7" s="43"/>
      <c r="AEZ7" s="43"/>
      <c r="AFA7" s="43"/>
      <c r="AFB7" s="43"/>
      <c r="AFC7" s="43"/>
      <c r="AFD7" s="43"/>
      <c r="AFE7" s="43"/>
      <c r="AFF7" s="43"/>
      <c r="AFG7" s="43"/>
      <c r="AFH7" s="43"/>
    </row>
    <row r="8" spans="1:840" ht="15.75" customHeight="1">
      <c r="G8" s="43"/>
      <c r="H8" s="14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43"/>
      <c r="DI8" s="43"/>
      <c r="DJ8" s="43"/>
      <c r="DK8" s="43"/>
      <c r="DL8" s="43"/>
      <c r="DM8" s="43"/>
      <c r="DN8" s="43"/>
      <c r="DO8" s="43"/>
      <c r="DP8" s="43"/>
      <c r="DQ8" s="43"/>
      <c r="DR8" s="43"/>
      <c r="DS8" s="43"/>
      <c r="DT8" s="43"/>
      <c r="DU8" s="43"/>
      <c r="DV8" s="43"/>
      <c r="DW8" s="43"/>
      <c r="DX8" s="43"/>
      <c r="DY8" s="43"/>
      <c r="DZ8" s="43"/>
      <c r="EA8" s="43"/>
      <c r="EB8" s="43"/>
      <c r="EC8" s="43"/>
      <c r="ED8" s="43"/>
      <c r="EE8" s="43"/>
      <c r="EF8" s="43"/>
      <c r="EG8" s="43"/>
      <c r="EH8" s="43"/>
      <c r="EI8" s="43"/>
      <c r="EJ8" s="43"/>
      <c r="EK8" s="43"/>
      <c r="EL8" s="43"/>
      <c r="EM8" s="43"/>
      <c r="EN8" s="43"/>
      <c r="EO8" s="43"/>
      <c r="EP8" s="43"/>
      <c r="EQ8" s="43"/>
      <c r="ER8" s="43"/>
      <c r="ES8" s="43"/>
      <c r="ET8" s="43"/>
      <c r="EU8" s="43"/>
      <c r="EV8" s="43"/>
      <c r="EW8" s="43"/>
      <c r="EX8" s="43"/>
      <c r="EY8" s="43"/>
      <c r="EZ8" s="43"/>
      <c r="FA8" s="43"/>
      <c r="FB8" s="43"/>
      <c r="FC8" s="43"/>
      <c r="FD8" s="43"/>
      <c r="FE8" s="43"/>
      <c r="FF8" s="43"/>
      <c r="FG8" s="43"/>
      <c r="FH8" s="43"/>
      <c r="FI8" s="43"/>
      <c r="FJ8" s="43"/>
      <c r="FK8" s="43"/>
      <c r="FL8" s="43"/>
      <c r="FM8" s="43"/>
      <c r="FN8" s="43"/>
      <c r="FO8" s="43"/>
      <c r="FP8" s="43"/>
      <c r="FQ8" s="43"/>
      <c r="FR8" s="43"/>
      <c r="FS8" s="43"/>
      <c r="FT8" s="43"/>
      <c r="FU8" s="43"/>
      <c r="FV8" s="43"/>
      <c r="FW8" s="43"/>
      <c r="FX8" s="43"/>
      <c r="FY8" s="43"/>
      <c r="FZ8" s="43"/>
      <c r="GA8" s="43"/>
      <c r="GB8" s="43"/>
      <c r="GC8" s="43"/>
      <c r="GD8" s="43"/>
      <c r="GE8" s="43"/>
      <c r="GF8" s="43"/>
      <c r="GG8" s="43"/>
      <c r="GH8" s="43"/>
      <c r="GI8" s="43"/>
      <c r="GJ8" s="43"/>
      <c r="GK8" s="43"/>
      <c r="GL8" s="43"/>
      <c r="GM8" s="43"/>
      <c r="GN8" s="43"/>
      <c r="GO8" s="43"/>
      <c r="GP8" s="43"/>
      <c r="GQ8" s="43"/>
      <c r="GR8" s="43"/>
      <c r="GS8" s="43"/>
      <c r="GT8" s="43"/>
      <c r="GU8" s="43"/>
      <c r="GV8" s="43"/>
      <c r="GW8" s="43"/>
      <c r="GX8" s="43"/>
      <c r="GY8" s="43"/>
      <c r="GZ8" s="43"/>
      <c r="HA8" s="43"/>
      <c r="HB8" s="43"/>
      <c r="HC8" s="43"/>
      <c r="HD8" s="43"/>
      <c r="HE8" s="43"/>
      <c r="HF8" s="43"/>
      <c r="HG8" s="43"/>
      <c r="HH8" s="43"/>
      <c r="HI8" s="43"/>
      <c r="HJ8" s="43"/>
      <c r="HK8" s="43"/>
      <c r="HL8" s="43"/>
      <c r="HM8" s="43"/>
      <c r="HN8" s="43"/>
      <c r="HO8" s="43"/>
      <c r="HP8" s="43"/>
      <c r="HQ8" s="43"/>
      <c r="HR8" s="43"/>
      <c r="HS8" s="43"/>
      <c r="HT8" s="43"/>
      <c r="HU8" s="43"/>
      <c r="HV8" s="43"/>
      <c r="HW8" s="43"/>
      <c r="HX8" s="43"/>
      <c r="HY8" s="43"/>
      <c r="HZ8" s="43"/>
      <c r="IA8" s="43"/>
      <c r="IB8" s="43"/>
      <c r="IC8" s="43"/>
      <c r="ID8" s="43"/>
      <c r="IE8" s="43"/>
      <c r="IF8" s="43"/>
      <c r="IG8" s="43"/>
      <c r="IH8" s="43"/>
      <c r="II8" s="43"/>
      <c r="IJ8" s="43"/>
      <c r="IK8" s="43"/>
      <c r="IL8" s="43"/>
      <c r="IM8" s="43"/>
      <c r="IN8" s="43"/>
      <c r="IO8" s="43"/>
      <c r="IP8" s="43"/>
      <c r="IQ8" s="43"/>
      <c r="IR8" s="43"/>
      <c r="IS8" s="43"/>
      <c r="IT8" s="43"/>
      <c r="IU8" s="43"/>
      <c r="IV8" s="43"/>
      <c r="IW8" s="43"/>
      <c r="IX8" s="43"/>
      <c r="IY8" s="43"/>
      <c r="IZ8" s="43"/>
      <c r="JA8" s="43"/>
      <c r="JB8" s="43"/>
      <c r="JC8" s="43"/>
      <c r="JD8" s="43"/>
      <c r="JE8" s="43"/>
      <c r="JF8" s="43"/>
      <c r="JG8" s="43"/>
      <c r="JH8" s="43"/>
      <c r="JI8" s="43"/>
      <c r="JJ8" s="43"/>
      <c r="JK8" s="43"/>
      <c r="JL8" s="43"/>
      <c r="JM8" s="43"/>
      <c r="JN8" s="43"/>
      <c r="JO8" s="43"/>
      <c r="JP8" s="43"/>
      <c r="JQ8" s="43"/>
      <c r="JR8" s="43"/>
      <c r="JS8" s="43"/>
      <c r="JT8" s="43"/>
      <c r="JU8" s="43"/>
      <c r="JV8" s="43"/>
      <c r="JW8" s="43"/>
      <c r="JX8" s="43"/>
      <c r="JY8" s="43"/>
      <c r="JZ8" s="43"/>
      <c r="KA8" s="43"/>
      <c r="KB8" s="43"/>
      <c r="KC8" s="43"/>
      <c r="KD8" s="43"/>
      <c r="KE8" s="43"/>
      <c r="KF8" s="43"/>
      <c r="KG8" s="43"/>
      <c r="KH8" s="43"/>
      <c r="KI8" s="43"/>
      <c r="KJ8" s="43"/>
      <c r="KK8" s="43"/>
      <c r="KL8" s="43"/>
      <c r="KM8" s="43"/>
      <c r="KN8" s="43"/>
      <c r="KO8" s="43"/>
      <c r="KP8" s="43"/>
      <c r="KQ8" s="43"/>
      <c r="KR8" s="43"/>
      <c r="KS8" s="43"/>
      <c r="KT8" s="43"/>
      <c r="KU8" s="43"/>
      <c r="KV8" s="43"/>
      <c r="KW8" s="43"/>
      <c r="KX8" s="43"/>
      <c r="KY8" s="43"/>
      <c r="KZ8" s="43"/>
      <c r="LA8" s="43"/>
      <c r="LB8" s="43"/>
      <c r="LC8" s="43"/>
      <c r="LD8" s="43"/>
      <c r="LE8" s="43"/>
      <c r="LF8" s="43"/>
      <c r="LG8" s="43"/>
      <c r="LH8" s="43"/>
      <c r="LI8" s="43"/>
      <c r="LJ8" s="43"/>
      <c r="LK8" s="43"/>
      <c r="LL8" s="43"/>
      <c r="LM8" s="43"/>
      <c r="LN8" s="43"/>
      <c r="LO8" s="43"/>
      <c r="LP8" s="43"/>
      <c r="LQ8" s="43"/>
      <c r="LR8" s="43"/>
      <c r="LS8" s="43"/>
      <c r="LT8" s="43"/>
      <c r="LU8" s="43"/>
      <c r="LV8" s="43"/>
      <c r="LW8" s="43"/>
      <c r="LX8" s="43"/>
      <c r="LY8" s="43"/>
      <c r="LZ8" s="43"/>
      <c r="MA8" s="43"/>
      <c r="MB8" s="43"/>
      <c r="MC8" s="43"/>
      <c r="MD8" s="43"/>
      <c r="ME8" s="43"/>
      <c r="MF8" s="43"/>
      <c r="MG8" s="43"/>
      <c r="MH8" s="43"/>
      <c r="MI8" s="43"/>
      <c r="MJ8" s="43"/>
      <c r="MK8" s="43"/>
      <c r="ML8" s="43"/>
      <c r="MM8" s="43"/>
      <c r="MN8" s="43"/>
      <c r="MO8" s="43"/>
      <c r="MP8" s="43"/>
      <c r="MQ8" s="43"/>
      <c r="MR8" s="43"/>
      <c r="MS8" s="43"/>
      <c r="MT8" s="43"/>
      <c r="MU8" s="43"/>
      <c r="MV8" s="43"/>
      <c r="MW8" s="43"/>
      <c r="MX8" s="43"/>
      <c r="MY8" s="43"/>
      <c r="MZ8" s="43"/>
      <c r="NA8" s="43"/>
      <c r="NB8" s="43"/>
      <c r="NC8" s="43"/>
      <c r="ND8" s="43"/>
      <c r="NE8" s="43"/>
      <c r="NF8" s="43"/>
      <c r="NG8" s="43"/>
      <c r="NH8" s="43"/>
      <c r="NI8" s="43"/>
      <c r="NJ8" s="43"/>
      <c r="NK8" s="43"/>
      <c r="NL8" s="43"/>
      <c r="NM8" s="43"/>
      <c r="NN8" s="43"/>
      <c r="NO8" s="43"/>
      <c r="NP8" s="43"/>
      <c r="NQ8" s="43"/>
      <c r="NR8" s="43"/>
      <c r="NS8" s="43"/>
      <c r="NT8" s="43"/>
      <c r="NU8" s="43"/>
      <c r="NV8" s="43"/>
      <c r="NW8" s="43"/>
      <c r="NX8" s="43"/>
      <c r="NY8" s="43"/>
      <c r="NZ8" s="43"/>
      <c r="OA8" s="43"/>
      <c r="OB8" s="43"/>
      <c r="OC8" s="43"/>
      <c r="OD8" s="43"/>
      <c r="OE8" s="43"/>
      <c r="OF8" s="43"/>
      <c r="OG8" s="43"/>
      <c r="OH8" s="43"/>
      <c r="OI8" s="43"/>
      <c r="OJ8" s="43"/>
      <c r="OK8" s="43"/>
      <c r="OL8" s="43"/>
      <c r="OM8" s="43"/>
      <c r="ON8" s="43"/>
      <c r="OO8" s="43"/>
      <c r="OP8" s="43"/>
      <c r="OQ8" s="43"/>
      <c r="OR8" s="43"/>
      <c r="OS8" s="43"/>
      <c r="OT8" s="43"/>
      <c r="OU8" s="43"/>
      <c r="OV8" s="43"/>
      <c r="OW8" s="43"/>
      <c r="OX8" s="43"/>
      <c r="OY8" s="43"/>
      <c r="OZ8" s="43"/>
      <c r="PA8" s="43"/>
      <c r="PB8" s="43"/>
      <c r="PC8" s="43"/>
      <c r="PD8" s="43"/>
      <c r="PE8" s="43"/>
      <c r="PF8" s="43"/>
      <c r="PG8" s="43"/>
      <c r="PH8" s="43"/>
      <c r="PI8" s="43"/>
      <c r="PJ8" s="43"/>
      <c r="PK8" s="43"/>
      <c r="PL8" s="43"/>
      <c r="PM8" s="43"/>
      <c r="PN8" s="43"/>
      <c r="PO8" s="43"/>
      <c r="PP8" s="43"/>
      <c r="PQ8" s="43"/>
      <c r="PR8" s="43"/>
      <c r="PS8" s="43"/>
      <c r="PT8" s="43"/>
      <c r="PU8" s="43"/>
      <c r="PV8" s="43"/>
      <c r="PW8" s="43"/>
      <c r="PX8" s="43"/>
      <c r="PY8" s="43"/>
      <c r="PZ8" s="43"/>
      <c r="QA8" s="43"/>
      <c r="QB8" s="43"/>
      <c r="QC8" s="43"/>
      <c r="QD8" s="43"/>
      <c r="QE8" s="43"/>
      <c r="QF8" s="43"/>
      <c r="QG8" s="43"/>
      <c r="QH8" s="43"/>
      <c r="QI8" s="43"/>
      <c r="QJ8" s="43"/>
      <c r="QK8" s="43"/>
      <c r="QL8" s="43"/>
      <c r="QM8" s="43"/>
      <c r="QN8" s="43"/>
      <c r="QO8" s="43"/>
      <c r="QP8" s="43"/>
      <c r="QQ8" s="43"/>
      <c r="QR8" s="43"/>
      <c r="QS8" s="43"/>
      <c r="QT8" s="43"/>
      <c r="QU8" s="43"/>
      <c r="QV8" s="43"/>
      <c r="QW8" s="43"/>
      <c r="QX8" s="43"/>
      <c r="QY8" s="43"/>
      <c r="QZ8" s="43"/>
      <c r="RA8" s="43"/>
      <c r="RB8" s="43"/>
      <c r="RC8" s="43"/>
      <c r="RD8" s="43"/>
      <c r="RE8" s="43"/>
      <c r="RF8" s="43"/>
      <c r="RG8" s="43"/>
      <c r="RH8" s="43"/>
      <c r="RI8" s="43"/>
      <c r="RJ8" s="43"/>
      <c r="RK8" s="43"/>
      <c r="RL8" s="43"/>
      <c r="RM8" s="43"/>
      <c r="RN8" s="43"/>
      <c r="RO8" s="43"/>
      <c r="RP8" s="43"/>
      <c r="RQ8" s="43"/>
      <c r="RR8" s="43"/>
      <c r="RS8" s="43"/>
      <c r="RT8" s="43"/>
      <c r="RU8" s="43"/>
      <c r="RV8" s="43"/>
      <c r="RW8" s="43"/>
      <c r="RX8" s="43"/>
      <c r="RY8" s="43"/>
      <c r="RZ8" s="43"/>
      <c r="SA8" s="43"/>
      <c r="SB8" s="43"/>
      <c r="SC8" s="43"/>
      <c r="SD8" s="43"/>
      <c r="SE8" s="43"/>
      <c r="SF8" s="43"/>
      <c r="SG8" s="43"/>
      <c r="SH8" s="43"/>
      <c r="SI8" s="43"/>
      <c r="SJ8" s="43"/>
      <c r="SK8" s="43"/>
      <c r="SL8" s="43"/>
      <c r="SM8" s="43"/>
      <c r="SN8" s="43"/>
      <c r="SO8" s="43"/>
      <c r="SP8" s="43"/>
      <c r="SQ8" s="43"/>
      <c r="SR8" s="43"/>
      <c r="SS8" s="43"/>
      <c r="ST8" s="43"/>
      <c r="SU8" s="43"/>
      <c r="SV8" s="43"/>
      <c r="SW8" s="43"/>
      <c r="SX8" s="43"/>
      <c r="SY8" s="43"/>
      <c r="SZ8" s="43"/>
      <c r="TA8" s="43"/>
      <c r="TB8" s="43"/>
      <c r="TC8" s="43"/>
      <c r="TD8" s="43"/>
      <c r="TE8" s="43"/>
      <c r="TF8" s="43"/>
      <c r="TG8" s="43"/>
      <c r="TH8" s="43"/>
      <c r="TI8" s="43"/>
      <c r="TJ8" s="43"/>
      <c r="TK8" s="43"/>
      <c r="TL8" s="43"/>
      <c r="TM8" s="43"/>
      <c r="TN8" s="43"/>
      <c r="TO8" s="43"/>
      <c r="TP8" s="43"/>
      <c r="TQ8" s="43"/>
      <c r="TR8" s="43"/>
      <c r="TS8" s="43"/>
      <c r="TT8" s="43"/>
      <c r="TU8" s="43"/>
      <c r="TV8" s="43"/>
      <c r="TW8" s="43"/>
      <c r="TX8" s="43"/>
      <c r="TY8" s="43"/>
      <c r="TZ8" s="43"/>
      <c r="UA8" s="43"/>
      <c r="UB8" s="43"/>
      <c r="UC8" s="43"/>
      <c r="UD8" s="43"/>
      <c r="UE8" s="43"/>
      <c r="UF8" s="43"/>
      <c r="UG8" s="43"/>
      <c r="UH8" s="43"/>
      <c r="UI8" s="43"/>
      <c r="UJ8" s="43"/>
      <c r="UK8" s="43"/>
      <c r="UL8" s="43"/>
      <c r="UM8" s="43"/>
      <c r="UN8" s="43"/>
      <c r="UO8" s="43"/>
      <c r="UP8" s="43"/>
      <c r="UQ8" s="43"/>
      <c r="UR8" s="43"/>
      <c r="US8" s="43"/>
      <c r="UT8" s="43"/>
      <c r="UU8" s="43"/>
      <c r="UV8" s="43"/>
      <c r="UW8" s="43"/>
      <c r="UX8" s="43"/>
      <c r="UY8" s="43"/>
      <c r="UZ8" s="43"/>
      <c r="VA8" s="43"/>
      <c r="VB8" s="43"/>
      <c r="VC8" s="43"/>
      <c r="VD8" s="43"/>
      <c r="VE8" s="43"/>
      <c r="VF8" s="43"/>
      <c r="VG8" s="43"/>
      <c r="VH8" s="43"/>
      <c r="VI8" s="43"/>
      <c r="VJ8" s="43"/>
      <c r="VK8" s="43"/>
      <c r="VL8" s="43"/>
      <c r="VM8" s="43"/>
      <c r="VN8" s="43"/>
      <c r="VO8" s="43"/>
      <c r="VP8" s="43"/>
      <c r="VQ8" s="43"/>
      <c r="VR8" s="43"/>
      <c r="VS8" s="43"/>
      <c r="VT8" s="43"/>
      <c r="VU8" s="43"/>
      <c r="VV8" s="43"/>
      <c r="VW8" s="43"/>
      <c r="VX8" s="43"/>
      <c r="VY8" s="43"/>
      <c r="VZ8" s="43"/>
      <c r="WA8" s="43"/>
      <c r="WB8" s="43"/>
      <c r="WC8" s="43"/>
      <c r="WD8" s="43"/>
      <c r="WE8" s="43"/>
      <c r="WF8" s="43"/>
      <c r="WG8" s="43"/>
      <c r="WH8" s="43"/>
      <c r="WI8" s="43"/>
      <c r="WJ8" s="43"/>
      <c r="WK8" s="43"/>
      <c r="WL8" s="43"/>
      <c r="WM8" s="43"/>
      <c r="WN8" s="43"/>
      <c r="WO8" s="43"/>
      <c r="WP8" s="43"/>
      <c r="WQ8" s="43"/>
      <c r="WR8" s="43"/>
      <c r="WS8" s="43"/>
      <c r="WT8" s="43"/>
      <c r="WU8" s="43"/>
      <c r="WV8" s="43"/>
      <c r="WW8" s="43"/>
      <c r="WX8" s="43"/>
      <c r="WY8" s="43"/>
      <c r="WZ8" s="43"/>
      <c r="XA8" s="43"/>
      <c r="XB8" s="43"/>
      <c r="XC8" s="43"/>
      <c r="XD8" s="43"/>
      <c r="XE8" s="43"/>
      <c r="XF8" s="43"/>
      <c r="XG8" s="43"/>
      <c r="XH8" s="43"/>
      <c r="XI8" s="43"/>
      <c r="XJ8" s="43"/>
      <c r="XK8" s="43"/>
      <c r="XL8" s="43"/>
      <c r="XM8" s="43"/>
      <c r="XN8" s="43"/>
      <c r="XO8" s="43"/>
      <c r="XP8" s="43"/>
      <c r="XQ8" s="43"/>
      <c r="XR8" s="43"/>
      <c r="XS8" s="43"/>
      <c r="XT8" s="43"/>
      <c r="XU8" s="43"/>
      <c r="XV8" s="43"/>
      <c r="XW8" s="43"/>
      <c r="XX8" s="43"/>
      <c r="XY8" s="43"/>
      <c r="XZ8" s="43"/>
      <c r="YA8" s="43"/>
      <c r="YB8" s="43"/>
      <c r="YC8" s="43"/>
      <c r="YD8" s="43"/>
      <c r="YE8" s="43"/>
      <c r="YF8" s="43"/>
      <c r="YG8" s="43"/>
      <c r="YH8" s="43"/>
      <c r="YI8" s="43"/>
      <c r="YJ8" s="43"/>
      <c r="YK8" s="43"/>
      <c r="YL8" s="43"/>
      <c r="YM8" s="43"/>
      <c r="YN8" s="43"/>
      <c r="YO8" s="43"/>
      <c r="YP8" s="43"/>
      <c r="YQ8" s="43"/>
      <c r="YR8" s="43"/>
      <c r="YS8" s="43"/>
      <c r="YT8" s="43"/>
      <c r="YU8" s="43"/>
      <c r="YV8" s="43"/>
      <c r="YW8" s="43"/>
      <c r="YX8" s="43"/>
      <c r="YY8" s="43"/>
      <c r="YZ8" s="43"/>
      <c r="ZA8" s="43"/>
      <c r="ZB8" s="43"/>
      <c r="ZC8" s="43"/>
      <c r="ZD8" s="43"/>
      <c r="ZE8" s="43"/>
      <c r="ZF8" s="43"/>
      <c r="ZG8" s="43"/>
      <c r="ZH8" s="43"/>
      <c r="ZI8" s="43"/>
      <c r="ZJ8" s="43"/>
      <c r="ZK8" s="43"/>
      <c r="ZL8" s="43"/>
      <c r="ZM8" s="43"/>
      <c r="ZN8" s="43"/>
      <c r="ZO8" s="43"/>
      <c r="ZP8" s="43"/>
      <c r="ZQ8" s="43"/>
      <c r="ZR8" s="43"/>
      <c r="ZS8" s="43"/>
      <c r="ZT8" s="43"/>
      <c r="ZU8" s="43"/>
      <c r="ZV8" s="43"/>
      <c r="ZW8" s="43"/>
      <c r="ZX8" s="43"/>
      <c r="ZY8" s="43"/>
      <c r="ZZ8" s="43"/>
      <c r="AAA8" s="43"/>
      <c r="AAB8" s="43"/>
      <c r="AAC8" s="43"/>
      <c r="AAD8" s="43"/>
      <c r="AAE8" s="43"/>
      <c r="AAF8" s="43"/>
      <c r="AAG8" s="43"/>
      <c r="AAH8" s="43"/>
      <c r="AAI8" s="43"/>
      <c r="AAJ8" s="43"/>
      <c r="AAK8" s="43"/>
      <c r="AAL8" s="43"/>
      <c r="AAM8" s="43"/>
      <c r="AAN8" s="43"/>
      <c r="AAO8" s="43"/>
      <c r="AAP8" s="43"/>
      <c r="AAQ8" s="43"/>
      <c r="AAR8" s="43"/>
      <c r="AAS8" s="43"/>
      <c r="AAT8" s="43"/>
      <c r="AAU8" s="43"/>
      <c r="AAV8" s="43"/>
      <c r="AAW8" s="43"/>
      <c r="AAX8" s="43"/>
      <c r="AAY8" s="43"/>
      <c r="AAZ8" s="43"/>
      <c r="ABA8" s="43"/>
      <c r="ABB8" s="43"/>
      <c r="ABC8" s="43"/>
      <c r="ABD8" s="43"/>
      <c r="ABE8" s="43"/>
      <c r="ABF8" s="43"/>
      <c r="ABG8" s="43"/>
      <c r="ABH8" s="43"/>
      <c r="ABI8" s="43"/>
      <c r="ABJ8" s="43"/>
      <c r="ABK8" s="43"/>
      <c r="ABL8" s="43"/>
      <c r="ABM8" s="43"/>
      <c r="ABN8" s="43"/>
      <c r="ABO8" s="43"/>
      <c r="ABP8" s="43"/>
      <c r="ABQ8" s="43"/>
      <c r="ABR8" s="43"/>
      <c r="ABS8" s="43"/>
      <c r="ABT8" s="43"/>
      <c r="ABU8" s="43"/>
      <c r="ABV8" s="43"/>
      <c r="ABW8" s="43"/>
      <c r="ABX8" s="43"/>
      <c r="ABY8" s="43"/>
      <c r="ABZ8" s="43"/>
      <c r="ACA8" s="43"/>
      <c r="ACB8" s="43"/>
      <c r="ACC8" s="43"/>
      <c r="ACD8" s="43"/>
      <c r="ACE8" s="43"/>
      <c r="ACF8" s="43"/>
      <c r="ACG8" s="43"/>
      <c r="ACH8" s="43"/>
      <c r="ACI8" s="43"/>
      <c r="ACJ8" s="43"/>
      <c r="ACK8" s="43"/>
      <c r="ACL8" s="43"/>
      <c r="ACM8" s="43"/>
      <c r="ACN8" s="43"/>
      <c r="ACO8" s="43"/>
      <c r="ACP8" s="43"/>
      <c r="ACQ8" s="43"/>
      <c r="ACR8" s="43"/>
      <c r="ACS8" s="43"/>
      <c r="ACT8" s="43"/>
      <c r="ACU8" s="43"/>
      <c r="ACV8" s="43"/>
      <c r="ACW8" s="43"/>
      <c r="ACX8" s="43"/>
      <c r="ACY8" s="43"/>
      <c r="ACZ8" s="43"/>
      <c r="ADA8" s="43"/>
      <c r="ADB8" s="43"/>
      <c r="ADC8" s="43"/>
      <c r="ADD8" s="43"/>
      <c r="ADE8" s="43"/>
      <c r="ADF8" s="43"/>
      <c r="ADG8" s="43"/>
      <c r="ADH8" s="43"/>
      <c r="ADI8" s="43"/>
      <c r="ADJ8" s="43"/>
      <c r="ADK8" s="43"/>
      <c r="ADL8" s="43"/>
      <c r="ADM8" s="43"/>
      <c r="ADN8" s="43"/>
      <c r="ADO8" s="43"/>
      <c r="ADP8" s="43"/>
      <c r="ADQ8" s="43"/>
      <c r="ADR8" s="43"/>
      <c r="ADS8" s="43"/>
      <c r="ADT8" s="43"/>
      <c r="ADU8" s="43"/>
      <c r="ADV8" s="43"/>
      <c r="ADW8" s="43"/>
      <c r="ADX8" s="43"/>
      <c r="ADY8" s="43"/>
      <c r="ADZ8" s="43"/>
      <c r="AEA8" s="43"/>
      <c r="AEB8" s="43"/>
      <c r="AEC8" s="43"/>
      <c r="AED8" s="43"/>
      <c r="AEE8" s="43"/>
      <c r="AEF8" s="43"/>
      <c r="AEG8" s="43"/>
      <c r="AEH8" s="43"/>
      <c r="AEI8" s="43"/>
      <c r="AEJ8" s="43"/>
      <c r="AEK8" s="43"/>
      <c r="AEL8" s="43"/>
      <c r="AEM8" s="43"/>
      <c r="AEN8" s="43"/>
      <c r="AEO8" s="43"/>
      <c r="AEP8" s="43"/>
      <c r="AEQ8" s="43"/>
      <c r="AER8" s="43"/>
      <c r="AES8" s="43"/>
      <c r="AET8" s="43"/>
      <c r="AEU8" s="43"/>
      <c r="AEV8" s="43"/>
      <c r="AEW8" s="43"/>
      <c r="AEX8" s="43"/>
      <c r="AEY8" s="43"/>
      <c r="AEZ8" s="43"/>
      <c r="AFA8" s="43"/>
      <c r="AFB8" s="43"/>
      <c r="AFC8" s="43"/>
      <c r="AFD8" s="43"/>
      <c r="AFE8" s="43"/>
      <c r="AFF8" s="43"/>
      <c r="AFG8" s="43"/>
      <c r="AFH8" s="43"/>
    </row>
    <row r="9" spans="1:840" s="44" customFormat="1" ht="54.75" customHeight="1">
      <c r="A9" s="503" t="s">
        <v>35</v>
      </c>
      <c r="B9" s="503" t="s">
        <v>1</v>
      </c>
      <c r="C9" s="503" t="s">
        <v>2</v>
      </c>
      <c r="D9" s="458" t="s">
        <v>145</v>
      </c>
      <c r="E9" s="460" t="s">
        <v>163</v>
      </c>
      <c r="F9" s="461"/>
      <c r="G9" s="462" t="s">
        <v>164</v>
      </c>
      <c r="H9" s="463"/>
    </row>
    <row r="10" spans="1:840" s="44" customFormat="1" ht="65.25" customHeight="1">
      <c r="A10" s="504"/>
      <c r="B10" s="504"/>
      <c r="C10" s="504"/>
      <c r="D10" s="459"/>
      <c r="E10" s="278" t="s">
        <v>3</v>
      </c>
      <c r="F10" s="228" t="s">
        <v>37</v>
      </c>
      <c r="G10" s="281" t="s">
        <v>3</v>
      </c>
      <c r="H10" s="153" t="s">
        <v>37</v>
      </c>
    </row>
    <row r="11" spans="1:840" s="44" customFormat="1">
      <c r="A11" s="283">
        <v>1</v>
      </c>
      <c r="B11" s="283">
        <v>2</v>
      </c>
      <c r="C11" s="283">
        <v>3</v>
      </c>
      <c r="D11" s="283">
        <v>4</v>
      </c>
      <c r="E11" s="283">
        <v>5</v>
      </c>
      <c r="F11" s="283">
        <v>6</v>
      </c>
      <c r="G11" s="283">
        <v>7</v>
      </c>
      <c r="H11" s="283">
        <v>8</v>
      </c>
    </row>
    <row r="12" spans="1:840" s="44" customFormat="1">
      <c r="A12" s="114">
        <v>1</v>
      </c>
      <c r="B12" s="210">
        <v>530011</v>
      </c>
      <c r="C12" s="131" t="s">
        <v>165</v>
      </c>
      <c r="D12" s="127" t="s">
        <v>173</v>
      </c>
      <c r="E12" s="128">
        <f>SUM(E13:E16)</f>
        <v>0</v>
      </c>
      <c r="F12" s="129" t="s">
        <v>174</v>
      </c>
      <c r="G12" s="128">
        <f>SUM(G13:G16)</f>
        <v>0</v>
      </c>
      <c r="H12" s="129" t="s">
        <v>174</v>
      </c>
    </row>
    <row r="13" spans="1:840" s="44" customFormat="1">
      <c r="A13" s="490"/>
      <c r="B13" s="112">
        <v>530011</v>
      </c>
      <c r="C13" s="107" t="s">
        <v>71</v>
      </c>
      <c r="D13" s="65" t="s">
        <v>46</v>
      </c>
      <c r="E13" s="51">
        <v>500</v>
      </c>
      <c r="F13" s="259" t="s">
        <v>174</v>
      </c>
      <c r="G13" s="51">
        <v>500</v>
      </c>
      <c r="H13" s="259" t="s">
        <v>174</v>
      </c>
      <c r="J13" s="247"/>
      <c r="L13" s="248"/>
    </row>
    <row r="14" spans="1:840" s="44" customFormat="1">
      <c r="A14" s="490"/>
      <c r="B14" s="212">
        <v>530011</v>
      </c>
      <c r="C14" s="107" t="s">
        <v>52</v>
      </c>
      <c r="D14" s="65" t="s">
        <v>6</v>
      </c>
      <c r="E14" s="51">
        <v>1000</v>
      </c>
      <c r="F14" s="259" t="s">
        <v>174</v>
      </c>
      <c r="G14" s="51">
        <v>1000</v>
      </c>
      <c r="H14" s="259" t="s">
        <v>174</v>
      </c>
      <c r="L14" s="248"/>
    </row>
    <row r="15" spans="1:840" s="44" customFormat="1">
      <c r="A15" s="490"/>
      <c r="B15" s="212">
        <v>530011</v>
      </c>
      <c r="C15" s="107" t="s">
        <v>88</v>
      </c>
      <c r="D15" s="65" t="s">
        <v>89</v>
      </c>
      <c r="E15" s="51">
        <v>4500</v>
      </c>
      <c r="F15" s="259" t="s">
        <v>174</v>
      </c>
      <c r="G15" s="51">
        <v>4500</v>
      </c>
      <c r="H15" s="259" t="s">
        <v>174</v>
      </c>
      <c r="L15" s="248"/>
    </row>
    <row r="16" spans="1:840" s="44" customFormat="1">
      <c r="A16" s="490"/>
      <c r="B16" s="213">
        <v>530011</v>
      </c>
      <c r="C16" s="107" t="s">
        <v>61</v>
      </c>
      <c r="D16" s="65" t="s">
        <v>16</v>
      </c>
      <c r="E16" s="51">
        <v>-6000</v>
      </c>
      <c r="F16" s="259" t="s">
        <v>174</v>
      </c>
      <c r="G16" s="51">
        <v>-6000</v>
      </c>
      <c r="H16" s="259" t="s">
        <v>174</v>
      </c>
      <c r="L16" s="248"/>
    </row>
    <row r="17" spans="1:840" s="44" customFormat="1">
      <c r="A17" s="114">
        <v>2</v>
      </c>
      <c r="B17" s="214">
        <v>530027</v>
      </c>
      <c r="C17" s="131" t="s">
        <v>165</v>
      </c>
      <c r="D17" s="127" t="s">
        <v>178</v>
      </c>
      <c r="E17" s="128">
        <v>0</v>
      </c>
      <c r="F17" s="129" t="s">
        <v>174</v>
      </c>
      <c r="G17" s="128">
        <v>0</v>
      </c>
      <c r="H17" s="129" t="s">
        <v>174</v>
      </c>
      <c r="L17" s="248"/>
    </row>
    <row r="18" spans="1:840" s="44" customFormat="1">
      <c r="A18" s="490"/>
      <c r="B18" s="112">
        <v>530027</v>
      </c>
      <c r="C18" s="107" t="s">
        <v>80</v>
      </c>
      <c r="D18" s="65" t="s">
        <v>81</v>
      </c>
      <c r="E18" s="51">
        <v>-30</v>
      </c>
      <c r="F18" s="259" t="s">
        <v>174</v>
      </c>
      <c r="G18" s="51">
        <v>-30</v>
      </c>
      <c r="H18" s="259" t="s">
        <v>174</v>
      </c>
      <c r="L18" s="248"/>
    </row>
    <row r="19" spans="1:840" s="44" customFormat="1">
      <c r="A19" s="490"/>
      <c r="B19" s="213">
        <v>530027</v>
      </c>
      <c r="C19" s="107" t="s">
        <v>61</v>
      </c>
      <c r="D19" s="65" t="s">
        <v>16</v>
      </c>
      <c r="E19" s="51">
        <v>30</v>
      </c>
      <c r="F19" s="259" t="s">
        <v>174</v>
      </c>
      <c r="G19" s="51">
        <v>30</v>
      </c>
      <c r="H19" s="259" t="s">
        <v>174</v>
      </c>
      <c r="L19" s="248"/>
    </row>
    <row r="20" spans="1:840" ht="56.25">
      <c r="A20" s="114">
        <v>3</v>
      </c>
      <c r="B20" s="214">
        <v>530039</v>
      </c>
      <c r="C20" s="50" t="s">
        <v>165</v>
      </c>
      <c r="D20" s="127" t="s">
        <v>172</v>
      </c>
      <c r="E20" s="128">
        <f>SUM(E21:E22)</f>
        <v>0</v>
      </c>
      <c r="F20" s="129">
        <f>SUM(F21:F22)</f>
        <v>5760</v>
      </c>
      <c r="G20" s="128">
        <f>SUM(G21:G22)</f>
        <v>0</v>
      </c>
      <c r="H20" s="129">
        <f>SUM(H21:H22)</f>
        <v>5760</v>
      </c>
      <c r="L20" s="248"/>
    </row>
    <row r="21" spans="1:840">
      <c r="A21" s="490"/>
      <c r="B21" s="112">
        <v>530039</v>
      </c>
      <c r="C21" s="107" t="s">
        <v>84</v>
      </c>
      <c r="D21" s="65" t="s">
        <v>85</v>
      </c>
      <c r="E21" s="51">
        <v>144</v>
      </c>
      <c r="F21" s="130">
        <v>151200</v>
      </c>
      <c r="G21" s="51">
        <v>144</v>
      </c>
      <c r="H21" s="130">
        <v>151200</v>
      </c>
      <c r="L21" s="248"/>
      <c r="AFE21" s="43"/>
      <c r="AFF21" s="43"/>
      <c r="AFG21" s="43"/>
      <c r="AFH21" s="43"/>
    </row>
    <row r="22" spans="1:840">
      <c r="A22" s="490"/>
      <c r="B22" s="213">
        <v>530039</v>
      </c>
      <c r="C22" s="107" t="s">
        <v>82</v>
      </c>
      <c r="D22" s="65" t="s">
        <v>83</v>
      </c>
      <c r="E22" s="51">
        <v>-144</v>
      </c>
      <c r="F22" s="130">
        <v>-145440</v>
      </c>
      <c r="G22" s="51">
        <v>-144</v>
      </c>
      <c r="H22" s="130">
        <v>-145440</v>
      </c>
      <c r="L22" s="248"/>
      <c r="AFE22" s="43"/>
      <c r="AFF22" s="43"/>
      <c r="AFG22" s="43"/>
      <c r="AFH22" s="43"/>
    </row>
    <row r="23" spans="1:840">
      <c r="A23" s="114">
        <v>4</v>
      </c>
      <c r="B23" s="214">
        <v>530052</v>
      </c>
      <c r="C23" s="50" t="s">
        <v>165</v>
      </c>
      <c r="D23" s="127" t="s">
        <v>183</v>
      </c>
      <c r="E23" s="128">
        <f>SUM(E24:E35)</f>
        <v>0</v>
      </c>
      <c r="F23" s="129">
        <f>SUM(F24:F35)</f>
        <v>289594.95999999996</v>
      </c>
      <c r="G23" s="128">
        <v>0</v>
      </c>
      <c r="H23" s="129">
        <f>SUM(H24:H35)</f>
        <v>284631</v>
      </c>
      <c r="K23" s="144"/>
      <c r="L23" s="248"/>
    </row>
    <row r="24" spans="1:840">
      <c r="A24" s="490"/>
      <c r="B24" s="112">
        <v>530052</v>
      </c>
      <c r="C24" s="107">
        <v>14</v>
      </c>
      <c r="D24" s="65" t="s">
        <v>47</v>
      </c>
      <c r="E24" s="51">
        <v>-34</v>
      </c>
      <c r="F24" s="130">
        <v>-22440</v>
      </c>
      <c r="G24" s="51">
        <v>-34</v>
      </c>
      <c r="H24" s="130">
        <v>-22440</v>
      </c>
      <c r="L24" s="248"/>
    </row>
    <row r="25" spans="1:840">
      <c r="A25" s="490"/>
      <c r="B25" s="212">
        <v>530052</v>
      </c>
      <c r="C25" s="107" t="s">
        <v>51</v>
      </c>
      <c r="D25" s="65" t="s">
        <v>154</v>
      </c>
      <c r="E25" s="51">
        <v>-302</v>
      </c>
      <c r="F25" s="130">
        <v>-260626</v>
      </c>
      <c r="G25" s="51">
        <v>-302</v>
      </c>
      <c r="H25" s="130">
        <v>-260626</v>
      </c>
      <c r="L25" s="248"/>
    </row>
    <row r="26" spans="1:840">
      <c r="A26" s="490"/>
      <c r="B26" s="212">
        <v>530052</v>
      </c>
      <c r="C26" s="107" t="s">
        <v>52</v>
      </c>
      <c r="D26" s="65" t="s">
        <v>6</v>
      </c>
      <c r="E26" s="51">
        <v>103</v>
      </c>
      <c r="F26" s="130">
        <v>88948.959999999963</v>
      </c>
      <c r="G26" s="51">
        <v>103</v>
      </c>
      <c r="H26" s="130">
        <v>87241</v>
      </c>
      <c r="L26" s="248"/>
    </row>
    <row r="27" spans="1:840">
      <c r="A27" s="490"/>
      <c r="B27" s="212">
        <v>530052</v>
      </c>
      <c r="C27" s="107" t="s">
        <v>54</v>
      </c>
      <c r="D27" s="65" t="s">
        <v>12</v>
      </c>
      <c r="E27" s="51">
        <v>-12</v>
      </c>
      <c r="F27" s="130">
        <v>-9972</v>
      </c>
      <c r="G27" s="51">
        <v>-12</v>
      </c>
      <c r="H27" s="130">
        <v>-9972</v>
      </c>
      <c r="L27" s="248"/>
    </row>
    <row r="28" spans="1:840">
      <c r="A28" s="490"/>
      <c r="B28" s="212">
        <v>530052</v>
      </c>
      <c r="C28" s="107" t="s">
        <v>58</v>
      </c>
      <c r="D28" s="65" t="s">
        <v>27</v>
      </c>
      <c r="E28" s="51">
        <v>278</v>
      </c>
      <c r="F28" s="130">
        <v>178754</v>
      </c>
      <c r="G28" s="51">
        <v>278</v>
      </c>
      <c r="H28" s="130">
        <v>178754</v>
      </c>
      <c r="L28" s="248"/>
    </row>
    <row r="29" spans="1:840">
      <c r="A29" s="490"/>
      <c r="B29" s="212">
        <v>530052</v>
      </c>
      <c r="C29" s="107" t="s">
        <v>61</v>
      </c>
      <c r="D29" s="65" t="s">
        <v>16</v>
      </c>
      <c r="E29" s="51">
        <v>-635</v>
      </c>
      <c r="F29" s="130">
        <v>-419100</v>
      </c>
      <c r="G29" s="51">
        <v>-635</v>
      </c>
      <c r="H29" s="130">
        <v>-419100</v>
      </c>
      <c r="L29" s="248"/>
    </row>
    <row r="30" spans="1:840">
      <c r="A30" s="490"/>
      <c r="B30" s="212">
        <v>530052</v>
      </c>
      <c r="C30" s="107" t="s">
        <v>63</v>
      </c>
      <c r="D30" s="65" t="s">
        <v>41</v>
      </c>
      <c r="E30" s="51">
        <v>-43</v>
      </c>
      <c r="F30" s="130">
        <v>-23134</v>
      </c>
      <c r="G30" s="51">
        <v>-43</v>
      </c>
      <c r="H30" s="130">
        <v>-23134</v>
      </c>
      <c r="L30" s="248"/>
    </row>
    <row r="31" spans="1:840">
      <c r="A31" s="490"/>
      <c r="B31" s="212">
        <v>530052</v>
      </c>
      <c r="C31" s="107" t="s">
        <v>64</v>
      </c>
      <c r="D31" s="65" t="s">
        <v>17</v>
      </c>
      <c r="E31" s="51">
        <v>-34</v>
      </c>
      <c r="F31" s="130">
        <v>-26044</v>
      </c>
      <c r="G31" s="51">
        <v>-34</v>
      </c>
      <c r="H31" s="130">
        <v>-26044</v>
      </c>
      <c r="L31" s="248"/>
    </row>
    <row r="32" spans="1:840">
      <c r="A32" s="490"/>
      <c r="B32" s="212">
        <v>530052</v>
      </c>
      <c r="C32" s="107" t="s">
        <v>65</v>
      </c>
      <c r="D32" s="65" t="s">
        <v>32</v>
      </c>
      <c r="E32" s="51">
        <v>368</v>
      </c>
      <c r="F32" s="130">
        <v>455584</v>
      </c>
      <c r="G32" s="51">
        <v>368</v>
      </c>
      <c r="H32" s="130">
        <v>455584</v>
      </c>
      <c r="L32" s="248"/>
    </row>
    <row r="33" spans="1:12">
      <c r="A33" s="490"/>
      <c r="B33" s="212">
        <v>530052</v>
      </c>
      <c r="C33" s="107" t="s">
        <v>66</v>
      </c>
      <c r="D33" s="65" t="s">
        <v>18</v>
      </c>
      <c r="E33" s="51">
        <v>195</v>
      </c>
      <c r="F33" s="130">
        <v>246090</v>
      </c>
      <c r="G33" s="51">
        <v>195</v>
      </c>
      <c r="H33" s="130">
        <v>246090</v>
      </c>
      <c r="L33" s="248"/>
    </row>
    <row r="34" spans="1:12">
      <c r="A34" s="490"/>
      <c r="B34" s="212">
        <v>530052</v>
      </c>
      <c r="C34" s="107" t="s">
        <v>67</v>
      </c>
      <c r="D34" s="65" t="s">
        <v>19</v>
      </c>
      <c r="E34" s="51">
        <v>162</v>
      </c>
      <c r="F34" s="130">
        <v>135124</v>
      </c>
      <c r="G34" s="51">
        <v>162</v>
      </c>
      <c r="H34" s="130">
        <v>131868</v>
      </c>
      <c r="L34" s="248"/>
    </row>
    <row r="35" spans="1:12">
      <c r="A35" s="490"/>
      <c r="B35" s="213">
        <v>530052</v>
      </c>
      <c r="C35" s="107" t="s">
        <v>78</v>
      </c>
      <c r="D35" s="65" t="s">
        <v>79</v>
      </c>
      <c r="E35" s="51">
        <v>-46</v>
      </c>
      <c r="F35" s="130">
        <v>-53590</v>
      </c>
      <c r="G35" s="51">
        <v>-46</v>
      </c>
      <c r="H35" s="130">
        <v>-53590</v>
      </c>
      <c r="L35" s="248"/>
    </row>
    <row r="36" spans="1:12" ht="37.5">
      <c r="A36" s="114">
        <v>5</v>
      </c>
      <c r="B36" s="214">
        <v>530141</v>
      </c>
      <c r="C36" s="50" t="s">
        <v>165</v>
      </c>
      <c r="D36" s="127" t="s">
        <v>187</v>
      </c>
      <c r="E36" s="128">
        <f>SUM(E37:E39)</f>
        <v>-100</v>
      </c>
      <c r="F36" s="129">
        <f>SUM(F37:F39)</f>
        <v>-132750</v>
      </c>
      <c r="G36" s="128">
        <f>SUM(G37:G39)</f>
        <v>-100</v>
      </c>
      <c r="H36" s="129">
        <f>SUM(H37:H39)</f>
        <v>-132750</v>
      </c>
      <c r="L36" s="248"/>
    </row>
    <row r="37" spans="1:12">
      <c r="A37" s="490"/>
      <c r="B37" s="112">
        <v>530141</v>
      </c>
      <c r="C37" s="107" t="s">
        <v>84</v>
      </c>
      <c r="D37" s="65" t="s">
        <v>85</v>
      </c>
      <c r="E37" s="51">
        <v>150</v>
      </c>
      <c r="F37" s="130">
        <v>157500</v>
      </c>
      <c r="G37" s="51">
        <v>150</v>
      </c>
      <c r="H37" s="130">
        <v>157500</v>
      </c>
      <c r="L37" s="248"/>
    </row>
    <row r="38" spans="1:12">
      <c r="A38" s="490"/>
      <c r="B38" s="212">
        <v>530141</v>
      </c>
      <c r="C38" s="107" t="s">
        <v>80</v>
      </c>
      <c r="D38" s="65" t="s">
        <v>81</v>
      </c>
      <c r="E38" s="51">
        <v>-100</v>
      </c>
      <c r="F38" s="130">
        <v>-115500</v>
      </c>
      <c r="G38" s="51">
        <v>-100</v>
      </c>
      <c r="H38" s="130">
        <v>-115500</v>
      </c>
      <c r="L38" s="248"/>
    </row>
    <row r="39" spans="1:12">
      <c r="A39" s="490"/>
      <c r="B39" s="213">
        <v>530141</v>
      </c>
      <c r="C39" s="107" t="s">
        <v>78</v>
      </c>
      <c r="D39" s="65" t="s">
        <v>79</v>
      </c>
      <c r="E39" s="51">
        <v>-150</v>
      </c>
      <c r="F39" s="130">
        <v>-174750</v>
      </c>
      <c r="G39" s="51">
        <v>-150</v>
      </c>
      <c r="H39" s="130">
        <v>-174750</v>
      </c>
      <c r="L39" s="248"/>
    </row>
    <row r="40" spans="1:12">
      <c r="A40" s="114">
        <v>6</v>
      </c>
      <c r="B40" s="214">
        <v>530198</v>
      </c>
      <c r="C40" s="50" t="s">
        <v>165</v>
      </c>
      <c r="D40" s="127" t="s">
        <v>30</v>
      </c>
      <c r="E40" s="128">
        <f>SUM(E41:E42)</f>
        <v>-325</v>
      </c>
      <c r="F40" s="129">
        <f>SUM(F41:F42)</f>
        <v>-337525</v>
      </c>
      <c r="G40" s="128">
        <f>SUM(G41:G42)</f>
        <v>-325</v>
      </c>
      <c r="H40" s="129">
        <f>SUM(H41:H42)</f>
        <v>-337525</v>
      </c>
      <c r="L40" s="248"/>
    </row>
    <row r="41" spans="1:12">
      <c r="A41" s="490"/>
      <c r="B41" s="112">
        <v>530198</v>
      </c>
      <c r="C41" s="107" t="s">
        <v>60</v>
      </c>
      <c r="D41" s="65" t="s">
        <v>8</v>
      </c>
      <c r="E41" s="51">
        <v>-175</v>
      </c>
      <c r="F41" s="130">
        <v>-148225</v>
      </c>
      <c r="G41" s="51">
        <v>-175</v>
      </c>
      <c r="H41" s="130">
        <v>-148225</v>
      </c>
      <c r="L41" s="248"/>
    </row>
    <row r="42" spans="1:12">
      <c r="A42" s="490"/>
      <c r="B42" s="213">
        <v>530198</v>
      </c>
      <c r="C42" s="107" t="s">
        <v>66</v>
      </c>
      <c r="D42" s="65" t="s">
        <v>18</v>
      </c>
      <c r="E42" s="51">
        <v>-150</v>
      </c>
      <c r="F42" s="130">
        <v>-189300</v>
      </c>
      <c r="G42" s="51">
        <v>-150</v>
      </c>
      <c r="H42" s="130">
        <v>-189300</v>
      </c>
      <c r="L42" s="248"/>
    </row>
    <row r="43" spans="1:12">
      <c r="A43" s="114">
        <v>7</v>
      </c>
      <c r="B43" s="214">
        <v>530200</v>
      </c>
      <c r="C43" s="50" t="s">
        <v>165</v>
      </c>
      <c r="D43" s="127" t="s">
        <v>90</v>
      </c>
      <c r="E43" s="128">
        <f>SUM(E44:E47)</f>
        <v>6157</v>
      </c>
      <c r="F43" s="129">
        <f t="shared" ref="F43:H43" si="0">SUM(F44:F47)</f>
        <v>7160910</v>
      </c>
      <c r="G43" s="128">
        <f t="shared" si="0"/>
        <v>0</v>
      </c>
      <c r="H43" s="129">
        <f t="shared" si="0"/>
        <v>0</v>
      </c>
      <c r="L43" s="248"/>
    </row>
    <row r="44" spans="1:12">
      <c r="A44" s="490"/>
      <c r="B44" s="112">
        <v>530200</v>
      </c>
      <c r="C44" s="107" t="s">
        <v>134</v>
      </c>
      <c r="D44" s="65" t="s">
        <v>155</v>
      </c>
      <c r="E44" s="51">
        <v>27</v>
      </c>
      <c r="F44" s="130">
        <v>321300</v>
      </c>
      <c r="G44" s="51">
        <v>0</v>
      </c>
      <c r="H44" s="130">
        <v>0</v>
      </c>
      <c r="L44" s="248"/>
    </row>
    <row r="45" spans="1:12">
      <c r="A45" s="490"/>
      <c r="B45" s="212">
        <v>530200</v>
      </c>
      <c r="C45" s="107" t="s">
        <v>80</v>
      </c>
      <c r="D45" s="65" t="s">
        <v>81</v>
      </c>
      <c r="E45" s="51">
        <v>1509</v>
      </c>
      <c r="F45" s="130">
        <v>1742895</v>
      </c>
      <c r="G45" s="51">
        <v>0</v>
      </c>
      <c r="H45" s="130">
        <v>0</v>
      </c>
      <c r="L45" s="248"/>
    </row>
    <row r="46" spans="1:12">
      <c r="A46" s="490"/>
      <c r="B46" s="212">
        <v>530200</v>
      </c>
      <c r="C46" s="107" t="s">
        <v>82</v>
      </c>
      <c r="D46" s="65" t="s">
        <v>83</v>
      </c>
      <c r="E46" s="51">
        <v>1850</v>
      </c>
      <c r="F46" s="130">
        <v>1868500</v>
      </c>
      <c r="G46" s="51">
        <v>0</v>
      </c>
      <c r="H46" s="130">
        <v>0</v>
      </c>
      <c r="L46" s="248"/>
    </row>
    <row r="47" spans="1:12">
      <c r="A47" s="490"/>
      <c r="B47" s="213">
        <v>530200</v>
      </c>
      <c r="C47" s="107" t="s">
        <v>78</v>
      </c>
      <c r="D47" s="65" t="s">
        <v>79</v>
      </c>
      <c r="E47" s="51">
        <v>2771</v>
      </c>
      <c r="F47" s="130">
        <v>3228215</v>
      </c>
      <c r="G47" s="51">
        <v>0</v>
      </c>
      <c r="H47" s="130">
        <v>0</v>
      </c>
      <c r="L47" s="248"/>
    </row>
    <row r="48" spans="1:12">
      <c r="A48" s="114">
        <v>8</v>
      </c>
      <c r="B48" s="214">
        <v>530228</v>
      </c>
      <c r="C48" s="131" t="s">
        <v>165</v>
      </c>
      <c r="D48" s="127" t="s">
        <v>194</v>
      </c>
      <c r="E48" s="128">
        <v>0</v>
      </c>
      <c r="F48" s="129" t="s">
        <v>174</v>
      </c>
      <c r="G48" s="128">
        <v>0</v>
      </c>
      <c r="H48" s="129" t="s">
        <v>174</v>
      </c>
      <c r="L48" s="248"/>
    </row>
    <row r="49" spans="1:12">
      <c r="A49" s="490"/>
      <c r="B49" s="112">
        <v>530228</v>
      </c>
      <c r="C49" s="107" t="s">
        <v>80</v>
      </c>
      <c r="D49" s="65" t="s">
        <v>81</v>
      </c>
      <c r="E49" s="51">
        <v>50</v>
      </c>
      <c r="F49" s="130" t="s">
        <v>174</v>
      </c>
      <c r="G49" s="51">
        <v>50</v>
      </c>
      <c r="H49" s="130" t="s">
        <v>174</v>
      </c>
      <c r="L49" s="248"/>
    </row>
    <row r="50" spans="1:12">
      <c r="A50" s="490"/>
      <c r="B50" s="213">
        <v>530228</v>
      </c>
      <c r="C50" s="107" t="s">
        <v>61</v>
      </c>
      <c r="D50" s="65" t="s">
        <v>16</v>
      </c>
      <c r="E50" s="51">
        <v>-50</v>
      </c>
      <c r="F50" s="130" t="s">
        <v>174</v>
      </c>
      <c r="G50" s="51">
        <v>-50</v>
      </c>
      <c r="H50" s="130" t="s">
        <v>174</v>
      </c>
      <c r="L50" s="248"/>
    </row>
    <row r="51" spans="1:12" ht="18.75" customHeight="1">
      <c r="A51" s="464" t="s">
        <v>203</v>
      </c>
      <c r="B51" s="464"/>
      <c r="C51" s="464"/>
      <c r="D51" s="464"/>
      <c r="E51" s="142">
        <f>E48+E43+E40+E36+E23+E20+E17+E12</f>
        <v>5732</v>
      </c>
      <c r="F51" s="145">
        <f>F43+F40+F36+F23+F20</f>
        <v>6985989.96</v>
      </c>
      <c r="G51" s="142">
        <f>G48+G43+G40+G36+G23+G20+G17+G12</f>
        <v>-425</v>
      </c>
      <c r="H51" s="145">
        <f>H43+H40+H36+H23+H20</f>
        <v>-179884</v>
      </c>
      <c r="L51" s="248"/>
    </row>
    <row r="52" spans="1:12">
      <c r="E52" s="102"/>
      <c r="F52" s="261"/>
      <c r="G52" s="143"/>
    </row>
  </sheetData>
  <mergeCells count="18">
    <mergeCell ref="A49:A50"/>
    <mergeCell ref="A51:D51"/>
    <mergeCell ref="A7:H7"/>
    <mergeCell ref="A41:A42"/>
    <mergeCell ref="A44:A47"/>
    <mergeCell ref="A18:A19"/>
    <mergeCell ref="A21:A22"/>
    <mergeCell ref="A24:A35"/>
    <mergeCell ref="A37:A39"/>
    <mergeCell ref="A13:A16"/>
    <mergeCell ref="G9:H9"/>
    <mergeCell ref="F3:H3"/>
    <mergeCell ref="A5:F5"/>
    <mergeCell ref="A9:A10"/>
    <mergeCell ref="B9:B10"/>
    <mergeCell ref="C9:C10"/>
    <mergeCell ref="D9:D10"/>
    <mergeCell ref="E9:F9"/>
  </mergeCells>
  <pageMargins left="0.78740157480314965" right="0.39370078740157483" top="0.39370078740157483" bottom="0.39370078740157483" header="0.35433070866141736" footer="0.35433070866141736"/>
  <pageSetup paperSize="9" scale="60" fitToHeight="0" orientation="portrait" r:id="rId1"/>
  <headerFooter alignWithMargins="0"/>
  <ignoredErrors>
    <ignoredError sqref="F51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</sheetPr>
  <dimension ref="A1:J19"/>
  <sheetViews>
    <sheetView zoomScale="80" zoomScaleNormal="80" workbookViewId="0">
      <pane xSplit="4" ySplit="11" topLeftCell="E12" activePane="bottomRight" state="frozen"/>
      <selection activeCell="J45" sqref="J45"/>
      <selection pane="topRight" activeCell="J45" sqref="J45"/>
      <selection pane="bottomLeft" activeCell="J45" sqref="J45"/>
      <selection pane="bottomRight" activeCell="O27" sqref="O27"/>
    </sheetView>
  </sheetViews>
  <sheetFormatPr defaultRowHeight="21" customHeight="1"/>
  <cols>
    <col min="1" max="1" width="6.85546875" style="28" customWidth="1"/>
    <col min="2" max="2" width="10.140625" style="11" customWidth="1"/>
    <col min="3" max="3" width="11.140625" style="11" customWidth="1"/>
    <col min="4" max="4" width="49.28515625" style="11" customWidth="1"/>
    <col min="5" max="5" width="18.28515625" style="15" customWidth="1"/>
    <col min="6" max="6" width="22.140625" style="15" customWidth="1"/>
    <col min="7" max="7" width="19" style="11" customWidth="1"/>
    <col min="8" max="8" width="20.42578125" style="11" customWidth="1"/>
    <col min="9" max="9" width="9.140625" style="11"/>
    <col min="10" max="10" width="13" style="11" bestFit="1" customWidth="1"/>
    <col min="11" max="16384" width="9.140625" style="11"/>
  </cols>
  <sheetData>
    <row r="1" spans="1:8" ht="21" customHeight="1">
      <c r="A1" s="159"/>
      <c r="B1" s="18"/>
      <c r="C1" s="18"/>
      <c r="D1" s="18"/>
      <c r="E1" s="120"/>
      <c r="F1" s="32"/>
      <c r="G1" s="32"/>
      <c r="H1" s="125" t="s">
        <v>232</v>
      </c>
    </row>
    <row r="2" spans="1:8" ht="21" customHeight="1">
      <c r="A2" s="159"/>
      <c r="B2" s="18"/>
      <c r="C2" s="18"/>
      <c r="D2" s="18"/>
      <c r="F2" s="32"/>
      <c r="G2" s="32"/>
      <c r="H2" s="31" t="s">
        <v>157</v>
      </c>
    </row>
    <row r="3" spans="1:8" ht="21" customHeight="1">
      <c r="A3" s="159"/>
      <c r="B3" s="18"/>
      <c r="C3" s="18"/>
      <c r="D3" s="18"/>
      <c r="E3" s="120"/>
      <c r="F3" s="32"/>
      <c r="G3" s="32"/>
      <c r="H3" s="125" t="s">
        <v>238</v>
      </c>
    </row>
    <row r="4" spans="1:8" ht="18.75">
      <c r="A4" s="159"/>
      <c r="B4" s="24"/>
      <c r="C4" s="24"/>
      <c r="D4" s="25"/>
      <c r="E4" s="25"/>
      <c r="F4" s="25"/>
    </row>
    <row r="5" spans="1:8" ht="57" hidden="1" customHeight="1">
      <c r="A5" s="505" t="s">
        <v>147</v>
      </c>
      <c r="B5" s="505"/>
      <c r="C5" s="505"/>
      <c r="D5" s="505"/>
      <c r="E5" s="505"/>
      <c r="F5" s="505"/>
    </row>
    <row r="6" spans="1:8" ht="11.25" hidden="1" customHeight="1">
      <c r="A6" s="158"/>
      <c r="B6" s="158"/>
      <c r="C6" s="157"/>
      <c r="D6" s="157"/>
      <c r="E6" s="157"/>
      <c r="F6" s="157"/>
    </row>
    <row r="7" spans="1:8" ht="19.5" customHeight="1">
      <c r="A7" s="506" t="s">
        <v>215</v>
      </c>
      <c r="B7" s="506"/>
      <c r="C7" s="506"/>
      <c r="D7" s="506"/>
      <c r="E7" s="506"/>
      <c r="F7" s="506"/>
      <c r="G7" s="506"/>
      <c r="H7" s="506"/>
    </row>
    <row r="8" spans="1:8" ht="14.25" customHeight="1"/>
    <row r="9" spans="1:8" ht="37.5" customHeight="1">
      <c r="A9" s="507" t="s">
        <v>35</v>
      </c>
      <c r="B9" s="507" t="s">
        <v>1</v>
      </c>
      <c r="C9" s="507" t="s">
        <v>2</v>
      </c>
      <c r="D9" s="507" t="s">
        <v>145</v>
      </c>
      <c r="E9" s="460" t="s">
        <v>163</v>
      </c>
      <c r="F9" s="461"/>
      <c r="G9" s="462" t="s">
        <v>164</v>
      </c>
      <c r="H9" s="463"/>
    </row>
    <row r="10" spans="1:8" ht="62.25" customHeight="1">
      <c r="A10" s="508"/>
      <c r="B10" s="508"/>
      <c r="C10" s="508"/>
      <c r="D10" s="508"/>
      <c r="E10" s="236" t="s">
        <v>3</v>
      </c>
      <c r="F10" s="236" t="s">
        <v>37</v>
      </c>
      <c r="G10" s="237" t="s">
        <v>3</v>
      </c>
      <c r="H10" s="237" t="s">
        <v>37</v>
      </c>
    </row>
    <row r="11" spans="1:8" ht="21" customHeight="1">
      <c r="A11" s="72">
        <v>1</v>
      </c>
      <c r="B11" s="72">
        <v>2</v>
      </c>
      <c r="C11" s="72">
        <v>3</v>
      </c>
      <c r="D11" s="161">
        <v>4</v>
      </c>
      <c r="E11" s="27">
        <v>5</v>
      </c>
      <c r="F11" s="27">
        <v>6</v>
      </c>
      <c r="G11" s="27">
        <v>7</v>
      </c>
      <c r="H11" s="27">
        <v>8</v>
      </c>
    </row>
    <row r="12" spans="1:8" ht="21" customHeight="1">
      <c r="A12" s="147">
        <v>1</v>
      </c>
      <c r="B12" s="114">
        <v>530001</v>
      </c>
      <c r="C12" s="50" t="s">
        <v>165</v>
      </c>
      <c r="D12" s="127" t="s">
        <v>166</v>
      </c>
      <c r="E12" s="128">
        <f>E13</f>
        <v>4</v>
      </c>
      <c r="F12" s="129">
        <f t="shared" ref="F12:H12" si="0">F13</f>
        <v>709739.00999999978</v>
      </c>
      <c r="G12" s="128">
        <f t="shared" si="0"/>
        <v>4</v>
      </c>
      <c r="H12" s="129">
        <f t="shared" si="0"/>
        <v>709739.00999999978</v>
      </c>
    </row>
    <row r="13" spans="1:8" ht="21" customHeight="1">
      <c r="A13" s="242"/>
      <c r="B13" s="113">
        <f>B12</f>
        <v>530001</v>
      </c>
      <c r="C13" s="83">
        <v>158</v>
      </c>
      <c r="D13" s="65" t="s">
        <v>216</v>
      </c>
      <c r="E13" s="51">
        <v>4</v>
      </c>
      <c r="F13" s="130">
        <v>709739.00999999978</v>
      </c>
      <c r="G13" s="51">
        <v>4</v>
      </c>
      <c r="H13" s="130">
        <v>709739.00999999978</v>
      </c>
    </row>
    <row r="14" spans="1:8" ht="21" customHeight="1">
      <c r="A14" s="147">
        <v>2</v>
      </c>
      <c r="B14" s="114">
        <v>530002</v>
      </c>
      <c r="C14" s="50" t="s">
        <v>165</v>
      </c>
      <c r="D14" s="127" t="s">
        <v>169</v>
      </c>
      <c r="E14" s="128">
        <f>E15</f>
        <v>4</v>
      </c>
      <c r="F14" s="129">
        <f t="shared" ref="F14:H14" si="1">F15</f>
        <v>162463.70999999996</v>
      </c>
      <c r="G14" s="128">
        <f t="shared" si="1"/>
        <v>4</v>
      </c>
      <c r="H14" s="129">
        <f t="shared" si="1"/>
        <v>162463.70999999996</v>
      </c>
    </row>
    <row r="15" spans="1:8" ht="21" customHeight="1">
      <c r="A15" s="242"/>
      <c r="B15" s="113">
        <f>B14</f>
        <v>530002</v>
      </c>
      <c r="C15" s="83">
        <v>158</v>
      </c>
      <c r="D15" s="65" t="s">
        <v>216</v>
      </c>
      <c r="E15" s="51">
        <v>4</v>
      </c>
      <c r="F15" s="130">
        <v>162463.70999999996</v>
      </c>
      <c r="G15" s="51">
        <v>4</v>
      </c>
      <c r="H15" s="130">
        <v>162463.70999999996</v>
      </c>
    </row>
    <row r="16" spans="1:8" ht="21" customHeight="1">
      <c r="A16" s="147">
        <v>3</v>
      </c>
      <c r="B16" s="114">
        <v>530198</v>
      </c>
      <c r="C16" s="50" t="s">
        <v>165</v>
      </c>
      <c r="D16" s="127" t="s">
        <v>30</v>
      </c>
      <c r="E16" s="128">
        <f>E17</f>
        <v>-70</v>
      </c>
      <c r="F16" s="129">
        <f t="shared" ref="F16:H16" si="2">F17</f>
        <v>978310.05</v>
      </c>
      <c r="G16" s="128">
        <f t="shared" si="2"/>
        <v>0</v>
      </c>
      <c r="H16" s="129">
        <f t="shared" si="2"/>
        <v>978310.05</v>
      </c>
    </row>
    <row r="17" spans="1:10" ht="21" customHeight="1">
      <c r="A17" s="242"/>
      <c r="B17" s="113">
        <f>B16</f>
        <v>530198</v>
      </c>
      <c r="C17" s="83">
        <v>158</v>
      </c>
      <c r="D17" s="65" t="s">
        <v>216</v>
      </c>
      <c r="E17" s="51">
        <v>-70</v>
      </c>
      <c r="F17" s="130">
        <v>978310.05</v>
      </c>
      <c r="G17" s="51">
        <v>0</v>
      </c>
      <c r="H17" s="130">
        <v>978310.05</v>
      </c>
      <c r="J17" s="249"/>
    </row>
    <row r="18" spans="1:10" ht="36.75" customHeight="1">
      <c r="A18" s="147">
        <v>4</v>
      </c>
      <c r="B18" s="220" t="s">
        <v>165</v>
      </c>
      <c r="C18" s="151" t="s">
        <v>165</v>
      </c>
      <c r="D18" s="100" t="s">
        <v>33</v>
      </c>
      <c r="E18" s="189"/>
      <c r="F18" s="190"/>
      <c r="G18" s="189">
        <v>-8</v>
      </c>
      <c r="H18" s="190">
        <v>-1850512.77</v>
      </c>
    </row>
    <row r="19" spans="1:10" ht="21" customHeight="1">
      <c r="A19" s="464" t="s">
        <v>203</v>
      </c>
      <c r="B19" s="464"/>
      <c r="C19" s="464"/>
      <c r="D19" s="464"/>
      <c r="E19" s="142">
        <f>E16+E14+E12+E18</f>
        <v>-62</v>
      </c>
      <c r="F19" s="145">
        <f t="shared" ref="F19:H19" si="3">F16+F14+F12+F18</f>
        <v>1850512.7699999998</v>
      </c>
      <c r="G19" s="142">
        <f>G12+G14+G16+G18</f>
        <v>0</v>
      </c>
      <c r="H19" s="145">
        <f t="shared" si="3"/>
        <v>0</v>
      </c>
    </row>
  </sheetData>
  <mergeCells count="9">
    <mergeCell ref="A19:D19"/>
    <mergeCell ref="A5:F5"/>
    <mergeCell ref="A7:H7"/>
    <mergeCell ref="A9:A10"/>
    <mergeCell ref="B9:B10"/>
    <mergeCell ref="C9:C10"/>
    <mergeCell ref="D9:D10"/>
    <mergeCell ref="E9:F9"/>
    <mergeCell ref="G9:H9"/>
  </mergeCells>
  <pageMargins left="0.78740157480314965" right="0.39370078740157483" top="0.39370078740157483" bottom="0.39370078740157483" header="0.31496062992125984" footer="0.31496062992125984"/>
  <pageSetup paperSize="9" scale="57" fitToHeight="0" orientation="portrait" r:id="rId1"/>
  <ignoredErrors>
    <ignoredError sqref="G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28</vt:i4>
      </vt:variant>
    </vt:vector>
  </HeadingPairs>
  <TitlesOfParts>
    <vt:vector size="44" baseType="lpstr">
      <vt:lpstr>Профилактика (1)</vt:lpstr>
      <vt:lpstr>Диспансерное наблюд (2) </vt:lpstr>
      <vt:lpstr>Проф осмотры (3)</vt:lpstr>
      <vt:lpstr>Диспансеризация (4)</vt:lpstr>
      <vt:lpstr>Диспансеризация 2 этап (5)</vt:lpstr>
      <vt:lpstr>Углублен.диспансеризация (6) </vt:lpstr>
      <vt:lpstr>Неотложная помощь(7)</vt:lpstr>
      <vt:lpstr>Обращения по заболеванию (8)</vt:lpstr>
      <vt:lpstr>Мед реабил(КС) (9)</vt:lpstr>
      <vt:lpstr>Круглосуточный стац (10)</vt:lpstr>
      <vt:lpstr>ВМП (11)</vt:lpstr>
      <vt:lpstr>Мед реабил(ДС) (12)</vt:lpstr>
      <vt:lpstr>Дневной стационар (13) </vt:lpstr>
      <vt:lpstr>Диагностические услуги (14)</vt:lpstr>
      <vt:lpstr>Прочие услуги (15)</vt:lpstr>
      <vt:lpstr>Сах диабет (№ 16)</vt:lpstr>
      <vt:lpstr>'ВМП (11)'!Заголовки_для_печати</vt:lpstr>
      <vt:lpstr>'Диагностические услуги (14)'!Заголовки_для_печати</vt:lpstr>
      <vt:lpstr>'Диспансерное наблюд (2) '!Заголовки_для_печати</vt:lpstr>
      <vt:lpstr>'Дневной стационар (13) '!Заголовки_для_печати</vt:lpstr>
      <vt:lpstr>'Круглосуточный стац (10)'!Заголовки_для_печати</vt:lpstr>
      <vt:lpstr>'Мед реабил(ДС) (12)'!Заголовки_для_печати</vt:lpstr>
      <vt:lpstr>'Мед реабил(КС) (9)'!Заголовки_для_печати</vt:lpstr>
      <vt:lpstr>'Неотложная помощь(7)'!Заголовки_для_печати</vt:lpstr>
      <vt:lpstr>'Обращения по заболеванию (8)'!Заголовки_для_печати</vt:lpstr>
      <vt:lpstr>'Профилактика (1)'!Заголовки_для_печати</vt:lpstr>
      <vt:lpstr>'Прочие услуги (15)'!Заголовки_для_печати</vt:lpstr>
      <vt:lpstr>'Сах диабет (№ 16)'!Заголовки_для_печати</vt:lpstr>
      <vt:lpstr>'ВМП (11)'!Область_печати</vt:lpstr>
      <vt:lpstr>'Диагностические услуги (14)'!Область_печати</vt:lpstr>
      <vt:lpstr>'Диспансеризация (4)'!Область_печати</vt:lpstr>
      <vt:lpstr>'Диспансеризация 2 этап (5)'!Область_печати</vt:lpstr>
      <vt:lpstr>'Диспансерное наблюд (2) '!Область_печати</vt:lpstr>
      <vt:lpstr>'Дневной стационар (13) '!Область_печати</vt:lpstr>
      <vt:lpstr>'Круглосуточный стац (10)'!Область_печати</vt:lpstr>
      <vt:lpstr>'Мед реабил(ДС) (12)'!Область_печати</vt:lpstr>
      <vt:lpstr>'Мед реабил(КС) (9)'!Область_печати</vt:lpstr>
      <vt:lpstr>'Неотложная помощь(7)'!Область_печати</vt:lpstr>
      <vt:lpstr>'Обращения по заболеванию (8)'!Область_печати</vt:lpstr>
      <vt:lpstr>'Проф осмотры (3)'!Область_печати</vt:lpstr>
      <vt:lpstr>'Профилактика (1)'!Область_печати</vt:lpstr>
      <vt:lpstr>'Прочие услуги (15)'!Область_печати</vt:lpstr>
      <vt:lpstr>'Сах диабет (№ 16)'!Область_печати</vt:lpstr>
      <vt:lpstr>'Углублен.диспансеризация (6)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2024-01-22T06:12:04Z</dcterms:modified>
</cp:coreProperties>
</file>